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aogch\Box\C131227 - Momentum\dXX JAXPORT\"/>
    </mc:Choice>
  </mc:AlternateContent>
  <xr:revisionPtr revIDLastSave="0" documentId="8_{A7C178D0-6800-4ECF-AB46-A1B24530C5B6}" xr6:coauthVersionLast="47" xr6:coauthVersionMax="47" xr10:uidLastSave="{00000000-0000-0000-0000-000000000000}"/>
  <bookViews>
    <workbookView xWindow="-108" yWindow="-108" windowWidth="23256" windowHeight="13176" tabRatio="724" xr2:uid="{DA22CE26-E530-4BCC-8801-5872DC0471E7}"/>
    <workbookView xWindow="-108" yWindow="-108" windowWidth="23256" windowHeight="13176" firstSheet="1" activeTab="4" xr2:uid="{35B4C500-B079-4CBC-A79C-C6317119F3C5}"/>
  </bookViews>
  <sheets>
    <sheet name="COVER" sheetId="32" r:id="rId1"/>
    <sheet name="0_MODEL_BenefitSummary" sheetId="30" r:id="rId2"/>
    <sheet name="1_MODEL_assumptions" sheetId="29" r:id="rId3"/>
    <sheet name="2_MODEL_Costs" sheetId="28" r:id="rId4"/>
    <sheet name="3_MODEL_main" sheetId="26" r:id="rId5"/>
    <sheet name="4_Emissions" sheetId="35" r:id="rId6"/>
    <sheet name="5_Safety" sheetId="34" r:id="rId7"/>
    <sheet name="6_Throughput" sheetId="36" r:id="rId8"/>
    <sheet name="7_PARAMS" sheetId="19" r:id="rId9"/>
    <sheet name="8_Data_Diesel Cost" sheetId="33" r:id="rId10"/>
    <sheet name="z_QAQC" sheetId="25" state="hidden" r:id="rId11"/>
  </sheets>
  <externalReferences>
    <externalReference r:id="rId12"/>
  </externalReferences>
  <definedNames>
    <definedName name="_Hlk19241157" localSheetId="0">COVER!$E$3</definedName>
    <definedName name="_Hlk19241223" localSheetId="0">COVER!$A$2</definedName>
    <definedName name="baseline">#REF!</definedName>
    <definedName name="_xlnm.Print_Area" localSheetId="0">COVER!$A$1:$I$22</definedName>
    <definedName name="railcostpermile">#REF!</definedName>
    <definedName name="railcostpertonmile">#REF!</definedName>
    <definedName name="railcostpertonmilenew" localSheetId="0">[1]BKGRD!$M$78</definedName>
    <definedName name="railcostpertonmilenew">#REF!</definedName>
    <definedName name="T5TEU" localSheetId="0">[1]PARAMS!#REF!</definedName>
    <definedName name="T5TEU">'7_PARAMS'!#REF!</definedName>
    <definedName name="truckcostpermile" localSheetId="0">[1]BKGRD!$L$66</definedName>
    <definedName name="truckcostpermile">#REF!</definedName>
    <definedName name="truckmpg" localSheetId="0">[1]PARAMS!$C$23</definedName>
    <definedName name="truckmpg">'7_PARAMS'!#REF!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26" i="26" l="1"/>
  <c r="AB26" i="26"/>
  <c r="AA26" i="26"/>
  <c r="Z26" i="26"/>
  <c r="Y26" i="26"/>
  <c r="X26" i="26"/>
  <c r="W26" i="26"/>
  <c r="V26" i="26"/>
  <c r="U26" i="26"/>
  <c r="T26" i="26"/>
  <c r="S26" i="26"/>
  <c r="R26" i="26"/>
  <c r="Q26" i="26"/>
  <c r="P26" i="26"/>
  <c r="O26" i="26"/>
  <c r="N26" i="26"/>
  <c r="M26" i="26"/>
  <c r="L26" i="26"/>
  <c r="K26" i="26"/>
  <c r="J26" i="26"/>
  <c r="I26" i="26"/>
  <c r="I33" i="26" s="1"/>
  <c r="G43" i="30"/>
  <c r="I44" i="30"/>
  <c r="J44" i="30" s="1"/>
  <c r="I43" i="30"/>
  <c r="J43" i="30" s="1"/>
  <c r="I46" i="28"/>
  <c r="C55" i="26"/>
  <c r="C58" i="26" s="1"/>
  <c r="C61" i="26" s="1"/>
  <c r="I16" i="36"/>
  <c r="G15" i="36"/>
  <c r="N15" i="36"/>
  <c r="O15" i="36" s="1"/>
  <c r="P15" i="36" s="1"/>
  <c r="Q15" i="36" s="1"/>
  <c r="R15" i="36" s="1"/>
  <c r="S15" i="36" s="1"/>
  <c r="T15" i="36" s="1"/>
  <c r="U15" i="36" s="1"/>
  <c r="V15" i="36" s="1"/>
  <c r="W15" i="36" s="1"/>
  <c r="X15" i="36" s="1"/>
  <c r="Y15" i="36" s="1"/>
  <c r="Z15" i="36" s="1"/>
  <c r="AA15" i="36" s="1"/>
  <c r="AB15" i="36" s="1"/>
  <c r="AC15" i="36" s="1"/>
  <c r="M15" i="36"/>
  <c r="L15" i="36"/>
  <c r="K15" i="36"/>
  <c r="J15" i="36"/>
  <c r="I15" i="36"/>
  <c r="G11" i="36"/>
  <c r="G10" i="36"/>
  <c r="G9" i="36"/>
  <c r="N339" i="35"/>
  <c r="O339" i="35"/>
  <c r="P339" i="35"/>
  <c r="Q339" i="35"/>
  <c r="R339" i="35"/>
  <c r="S339" i="35"/>
  <c r="T339" i="35"/>
  <c r="U339" i="35"/>
  <c r="V339" i="35"/>
  <c r="W339" i="35"/>
  <c r="X339" i="35"/>
  <c r="Y339" i="35" s="1"/>
  <c r="Z339" i="35" s="1"/>
  <c r="AA339" i="35" s="1"/>
  <c r="AB339" i="35" s="1"/>
  <c r="AC339" i="35" s="1"/>
  <c r="AD339" i="35" s="1"/>
  <c r="N340" i="35"/>
  <c r="O340" i="35"/>
  <c r="P340" i="35"/>
  <c r="Q340" i="35"/>
  <c r="R340" i="35"/>
  <c r="S340" i="35"/>
  <c r="T340" i="35"/>
  <c r="U340" i="35"/>
  <c r="V340" i="35"/>
  <c r="W340" i="35"/>
  <c r="X340" i="35"/>
  <c r="Y340" i="35"/>
  <c r="Z340" i="35" s="1"/>
  <c r="AA340" i="35" s="1"/>
  <c r="AB340" i="35" s="1"/>
  <c r="AC340" i="35" s="1"/>
  <c r="AD340" i="35" s="1"/>
  <c r="N341" i="35"/>
  <c r="O341" i="35"/>
  <c r="P341" i="35"/>
  <c r="Q341" i="35"/>
  <c r="R341" i="35"/>
  <c r="S341" i="35"/>
  <c r="T341" i="35"/>
  <c r="U341" i="35"/>
  <c r="V341" i="35"/>
  <c r="W341" i="35"/>
  <c r="X341" i="35"/>
  <c r="Y341" i="35" s="1"/>
  <c r="Z341" i="35" s="1"/>
  <c r="AA341" i="35" s="1"/>
  <c r="AB341" i="35" s="1"/>
  <c r="AC341" i="35" s="1"/>
  <c r="AD341" i="35" s="1"/>
  <c r="U342" i="35"/>
  <c r="V342" i="35"/>
  <c r="W342" i="35"/>
  <c r="X342" i="35"/>
  <c r="Y342" i="35"/>
  <c r="Z342" i="35"/>
  <c r="AA342" i="35"/>
  <c r="AB342" i="35"/>
  <c r="AC342" i="35"/>
  <c r="AD342" i="35"/>
  <c r="U343" i="35"/>
  <c r="V343" i="35"/>
  <c r="W343" i="35"/>
  <c r="X343" i="35"/>
  <c r="Y343" i="35"/>
  <c r="Z343" i="35"/>
  <c r="AA343" i="35"/>
  <c r="AB343" i="35"/>
  <c r="AC343" i="35"/>
  <c r="AD343" i="35"/>
  <c r="U344" i="35"/>
  <c r="V344" i="35"/>
  <c r="W344" i="35"/>
  <c r="X344" i="35"/>
  <c r="Y344" i="35"/>
  <c r="Z344" i="35"/>
  <c r="AA344" i="35"/>
  <c r="AB344" i="35"/>
  <c r="AC344" i="35"/>
  <c r="AD344" i="35"/>
  <c r="K2" i="36"/>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J2" i="36"/>
  <c r="J1" i="36"/>
  <c r="K1" i="36" s="1"/>
  <c r="L1" i="36" s="1"/>
  <c r="M1" i="36" s="1"/>
  <c r="N1" i="36" s="1"/>
  <c r="O1" i="36" s="1"/>
  <c r="P1" i="36" s="1"/>
  <c r="Q1" i="36" s="1"/>
  <c r="R1" i="36" s="1"/>
  <c r="S1" i="36" s="1"/>
  <c r="T1" i="36" s="1"/>
  <c r="U1" i="36" s="1"/>
  <c r="V1" i="36" s="1"/>
  <c r="W1" i="36" s="1"/>
  <c r="X1" i="36" s="1"/>
  <c r="Y1" i="36" s="1"/>
  <c r="Z1" i="36" s="1"/>
  <c r="AA1" i="36" s="1"/>
  <c r="AB1" i="36" s="1"/>
  <c r="AC1" i="36" s="1"/>
  <c r="AD1" i="36" s="1"/>
  <c r="AE1" i="36" s="1"/>
  <c r="AF1" i="36" s="1"/>
  <c r="AG1" i="36" s="1"/>
  <c r="AH1" i="36" s="1"/>
  <c r="C20" i="34"/>
  <c r="D20" i="34"/>
  <c r="D19" i="34"/>
  <c r="D18" i="34"/>
  <c r="D17" i="34"/>
  <c r="D16" i="34"/>
  <c r="C19" i="34"/>
  <c r="C18" i="34"/>
  <c r="C17" i="34"/>
  <c r="C16" i="34"/>
  <c r="J2" i="34"/>
  <c r="K2" i="34" s="1"/>
  <c r="L2" i="34" s="1"/>
  <c r="M2" i="34" s="1"/>
  <c r="N2" i="34" s="1"/>
  <c r="O2" i="34" s="1"/>
  <c r="P2" i="34" s="1"/>
  <c r="Q2" i="34" s="1"/>
  <c r="R2" i="34" s="1"/>
  <c r="S2" i="34" s="1"/>
  <c r="T2" i="34" s="1"/>
  <c r="U2" i="34" s="1"/>
  <c r="V2" i="34" s="1"/>
  <c r="W2" i="34" s="1"/>
  <c r="X2" i="34" s="1"/>
  <c r="Y2" i="34" s="1"/>
  <c r="Z2" i="34" s="1"/>
  <c r="AA2" i="34" s="1"/>
  <c r="AB2" i="34" s="1"/>
  <c r="AC2" i="34" s="1"/>
  <c r="AD2" i="34" s="1"/>
  <c r="AE2" i="34" s="1"/>
  <c r="AF2" i="34" s="1"/>
  <c r="AG2" i="34" s="1"/>
  <c r="AH2" i="34" s="1"/>
  <c r="J1" i="34"/>
  <c r="K1" i="34" s="1"/>
  <c r="L1" i="34" s="1"/>
  <c r="M1" i="34" s="1"/>
  <c r="N1" i="34" s="1"/>
  <c r="O1" i="34" s="1"/>
  <c r="P1" i="34" s="1"/>
  <c r="Q1" i="34" s="1"/>
  <c r="R1" i="34" s="1"/>
  <c r="S1" i="34" s="1"/>
  <c r="T1" i="34" s="1"/>
  <c r="U1" i="34" s="1"/>
  <c r="V1" i="34" s="1"/>
  <c r="W1" i="34" s="1"/>
  <c r="X1" i="34" s="1"/>
  <c r="Y1" i="34" s="1"/>
  <c r="Z1" i="34" s="1"/>
  <c r="AA1" i="34" s="1"/>
  <c r="AB1" i="34" s="1"/>
  <c r="AC1" i="34" s="1"/>
  <c r="AD1" i="34" s="1"/>
  <c r="AE1" i="34" s="1"/>
  <c r="AF1" i="34" s="1"/>
  <c r="AG1" i="34" s="1"/>
  <c r="AH1" i="34" s="1"/>
  <c r="B12" i="34"/>
  <c r="B13" i="34" s="1"/>
  <c r="O97" i="35" l="1"/>
  <c r="O93" i="35"/>
  <c r="O91" i="35"/>
  <c r="O89" i="35"/>
  <c r="O87" i="35"/>
  <c r="Q334" i="35" l="1"/>
  <c r="P334" i="35"/>
  <c r="O334" i="35"/>
  <c r="N334" i="35"/>
  <c r="M334" i="35"/>
  <c r="L334" i="35"/>
  <c r="L96" i="35" s="1"/>
  <c r="K334" i="35"/>
  <c r="J334" i="35"/>
  <c r="I334" i="35"/>
  <c r="H334" i="35"/>
  <c r="L94" i="35"/>
  <c r="Q333" i="35"/>
  <c r="P333" i="35"/>
  <c r="O333" i="35"/>
  <c r="N333" i="35"/>
  <c r="M333" i="35"/>
  <c r="L333" i="35"/>
  <c r="K333" i="35"/>
  <c r="J333" i="35"/>
  <c r="I333" i="35"/>
  <c r="H333" i="35"/>
  <c r="H332" i="35"/>
  <c r="L88" i="35"/>
  <c r="M88" i="35"/>
  <c r="N88" i="35"/>
  <c r="Q332" i="35"/>
  <c r="P332" i="35"/>
  <c r="O332" i="35"/>
  <c r="N332" i="35"/>
  <c r="M332" i="35"/>
  <c r="L332" i="35"/>
  <c r="K332" i="35"/>
  <c r="J332" i="35"/>
  <c r="I332" i="35"/>
  <c r="Q331" i="35"/>
  <c r="P331" i="35"/>
  <c r="O331" i="35"/>
  <c r="N331" i="35"/>
  <c r="M331" i="35"/>
  <c r="L331" i="35"/>
  <c r="K331" i="35"/>
  <c r="J331" i="35"/>
  <c r="I331" i="35"/>
  <c r="H331" i="35"/>
  <c r="Q330" i="35"/>
  <c r="P330" i="35"/>
  <c r="O330" i="35"/>
  <c r="N330" i="35"/>
  <c r="M330" i="35"/>
  <c r="L330" i="35"/>
  <c r="K330" i="35"/>
  <c r="J330" i="35"/>
  <c r="I330" i="35"/>
  <c r="H330" i="35"/>
  <c r="Q329" i="35"/>
  <c r="P329" i="35"/>
  <c r="O329" i="35"/>
  <c r="N329" i="35"/>
  <c r="M329" i="35"/>
  <c r="L329" i="35"/>
  <c r="K329" i="35"/>
  <c r="J329" i="35"/>
  <c r="I329" i="35"/>
  <c r="H329" i="35"/>
  <c r="Q328" i="35"/>
  <c r="P328" i="35"/>
  <c r="O328" i="35"/>
  <c r="N328" i="35"/>
  <c r="M328" i="35"/>
  <c r="L328" i="35"/>
  <c r="K328" i="35"/>
  <c r="J328" i="35"/>
  <c r="I328" i="35"/>
  <c r="H328" i="35"/>
  <c r="Q327" i="35"/>
  <c r="P327" i="35"/>
  <c r="O327" i="35"/>
  <c r="N327" i="35"/>
  <c r="M327" i="35"/>
  <c r="L327" i="35"/>
  <c r="K327" i="35"/>
  <c r="J327" i="35"/>
  <c r="I327" i="35"/>
  <c r="H327" i="35"/>
  <c r="Q326" i="35"/>
  <c r="P326" i="35"/>
  <c r="O326" i="35"/>
  <c r="N326" i="35"/>
  <c r="M326" i="35"/>
  <c r="L326" i="35"/>
  <c r="K326" i="35"/>
  <c r="J326" i="35"/>
  <c r="I326" i="35"/>
  <c r="H326" i="35"/>
  <c r="Q325" i="35"/>
  <c r="P325" i="35"/>
  <c r="O325" i="35"/>
  <c r="N325" i="35"/>
  <c r="M325" i="35"/>
  <c r="L325" i="35"/>
  <c r="K325" i="35"/>
  <c r="J325" i="35"/>
  <c r="I325" i="35"/>
  <c r="H325" i="35"/>
  <c r="Q324" i="35"/>
  <c r="P324" i="35"/>
  <c r="O324" i="35"/>
  <c r="N324" i="35"/>
  <c r="M324" i="35"/>
  <c r="L324" i="35"/>
  <c r="K324" i="35"/>
  <c r="J324" i="35"/>
  <c r="I324" i="35"/>
  <c r="H324" i="35"/>
  <c r="Q323" i="35"/>
  <c r="P323" i="35"/>
  <c r="O323" i="35"/>
  <c r="N323" i="35"/>
  <c r="M323" i="35"/>
  <c r="L323" i="35"/>
  <c r="K323" i="35"/>
  <c r="J323" i="35"/>
  <c r="I323" i="35"/>
  <c r="H323" i="35"/>
  <c r="N95" i="35"/>
  <c r="M95" i="35"/>
  <c r="S322" i="35"/>
  <c r="T322" i="35" s="1"/>
  <c r="U322" i="35" s="1"/>
  <c r="V322" i="35" s="1"/>
  <c r="W322" i="35" s="1"/>
  <c r="X322" i="35" s="1"/>
  <c r="Y322" i="35" s="1"/>
  <c r="Z322" i="35" s="1"/>
  <c r="AA322" i="35" s="1"/>
  <c r="AB322" i="35" s="1"/>
  <c r="AC322" i="35" s="1"/>
  <c r="AD322" i="35" s="1"/>
  <c r="AE322" i="35" s="1"/>
  <c r="AF322" i="35" s="1"/>
  <c r="AG322" i="35" s="1"/>
  <c r="AH322" i="35" s="1"/>
  <c r="AI322" i="35" s="1"/>
  <c r="AJ322" i="35" s="1"/>
  <c r="AK322" i="35" s="1"/>
  <c r="AL322" i="35" s="1"/>
  <c r="AM322" i="35" s="1"/>
  <c r="AN322" i="35" s="1"/>
  <c r="AO322" i="35" s="1"/>
  <c r="Z330" i="35"/>
  <c r="AA330" i="35" s="1"/>
  <c r="AB330" i="35" s="1"/>
  <c r="AC330" i="35" s="1"/>
  <c r="AD330" i="35" s="1"/>
  <c r="AE330" i="35" s="1"/>
  <c r="AF330" i="35" s="1"/>
  <c r="AG330" i="35" s="1"/>
  <c r="AH330" i="35" s="1"/>
  <c r="AI330" i="35" s="1"/>
  <c r="AJ330" i="35" s="1"/>
  <c r="AK330" i="35" s="1"/>
  <c r="AL330" i="35" s="1"/>
  <c r="AM330" i="35" s="1"/>
  <c r="AN330" i="35" s="1"/>
  <c r="AO330" i="35" s="1"/>
  <c r="Y332" i="35"/>
  <c r="Z332" i="35" s="1"/>
  <c r="AA332" i="35" s="1"/>
  <c r="AB332" i="35" s="1"/>
  <c r="AC332" i="35" s="1"/>
  <c r="AD332" i="35" s="1"/>
  <c r="AE332" i="35" s="1"/>
  <c r="AF332" i="35" s="1"/>
  <c r="AG332" i="35" s="1"/>
  <c r="AH332" i="35" s="1"/>
  <c r="AI332" i="35" s="1"/>
  <c r="AJ332" i="35" s="1"/>
  <c r="AK332" i="35" s="1"/>
  <c r="AL332" i="35" s="1"/>
  <c r="AM332" i="35" s="1"/>
  <c r="AN332" i="35" s="1"/>
  <c r="AO332" i="35" s="1"/>
  <c r="X331" i="35"/>
  <c r="Y331" i="35" s="1"/>
  <c r="Z331" i="35" s="1"/>
  <c r="AA331" i="35" s="1"/>
  <c r="AB331" i="35" s="1"/>
  <c r="AC331" i="35" s="1"/>
  <c r="AD331" i="35" s="1"/>
  <c r="AE331" i="35" s="1"/>
  <c r="AF331" i="35" s="1"/>
  <c r="AG331" i="35" s="1"/>
  <c r="AH331" i="35" s="1"/>
  <c r="AI331" i="35" s="1"/>
  <c r="AJ331" i="35" s="1"/>
  <c r="AK331" i="35" s="1"/>
  <c r="AL331" i="35" s="1"/>
  <c r="AM331" i="35" s="1"/>
  <c r="AN331" i="35" s="1"/>
  <c r="AO331" i="35" s="1"/>
  <c r="Y328" i="35"/>
  <c r="Z328" i="35" s="1"/>
  <c r="AA328" i="35" s="1"/>
  <c r="AB328" i="35" s="1"/>
  <c r="AC328" i="35" s="1"/>
  <c r="AD328" i="35" s="1"/>
  <c r="AE328" i="35" s="1"/>
  <c r="AF328" i="35" s="1"/>
  <c r="AG328" i="35" s="1"/>
  <c r="AH328" i="35" s="1"/>
  <c r="AI328" i="35" s="1"/>
  <c r="AJ328" i="35" s="1"/>
  <c r="AK328" i="35" s="1"/>
  <c r="AL328" i="35" s="1"/>
  <c r="AM328" i="35" s="1"/>
  <c r="AN328" i="35" s="1"/>
  <c r="AO328" i="35" s="1"/>
  <c r="X327" i="35"/>
  <c r="Y327" i="35" s="1"/>
  <c r="Z327" i="35" s="1"/>
  <c r="AA327" i="35" s="1"/>
  <c r="AB327" i="35" s="1"/>
  <c r="AC327" i="35" s="1"/>
  <c r="AD327" i="35" s="1"/>
  <c r="AE327" i="35" s="1"/>
  <c r="AF327" i="35" s="1"/>
  <c r="AG327" i="35" s="1"/>
  <c r="AH327" i="35" s="1"/>
  <c r="AI327" i="35" s="1"/>
  <c r="AJ327" i="35" s="1"/>
  <c r="AK327" i="35" s="1"/>
  <c r="AL327" i="35" s="1"/>
  <c r="AM327" i="35" s="1"/>
  <c r="AN327" i="35" s="1"/>
  <c r="AO327" i="35" s="1"/>
  <c r="W330" i="35"/>
  <c r="X330" i="35" s="1"/>
  <c r="Y330" i="35" s="1"/>
  <c r="W326" i="35"/>
  <c r="X326" i="35" s="1"/>
  <c r="Y326" i="35" s="1"/>
  <c r="Z326" i="35" s="1"/>
  <c r="AA326" i="35" s="1"/>
  <c r="AB326" i="35" s="1"/>
  <c r="AC326" i="35" s="1"/>
  <c r="AD326" i="35" s="1"/>
  <c r="AE326" i="35" s="1"/>
  <c r="AF326" i="35" s="1"/>
  <c r="AG326" i="35" s="1"/>
  <c r="AH326" i="35" s="1"/>
  <c r="AI326" i="35" s="1"/>
  <c r="AJ326" i="35" s="1"/>
  <c r="AK326" i="35" s="1"/>
  <c r="AL326" i="35" s="1"/>
  <c r="AM326" i="35" s="1"/>
  <c r="AN326" i="35" s="1"/>
  <c r="AO326" i="35" s="1"/>
  <c r="V329" i="35"/>
  <c r="W329" i="35" s="1"/>
  <c r="Y329" i="35" s="1"/>
  <c r="Z329" i="35" s="1"/>
  <c r="AA329" i="35" s="1"/>
  <c r="AB329" i="35" s="1"/>
  <c r="AC329" i="35" s="1"/>
  <c r="AD329" i="35" s="1"/>
  <c r="AE329" i="35" s="1"/>
  <c r="AF329" i="35" s="1"/>
  <c r="AG329" i="35" s="1"/>
  <c r="AH329" i="35" s="1"/>
  <c r="AI329" i="35" s="1"/>
  <c r="AJ329" i="35" s="1"/>
  <c r="AK329" i="35" s="1"/>
  <c r="AL329" i="35" s="1"/>
  <c r="AM329" i="35" s="1"/>
  <c r="AN329" i="35" s="1"/>
  <c r="AO329" i="35" s="1"/>
  <c r="V325" i="35"/>
  <c r="W325" i="35" s="1"/>
  <c r="X325" i="35" s="1"/>
  <c r="Y325" i="35" s="1"/>
  <c r="Z325" i="35" s="1"/>
  <c r="AA325" i="35" s="1"/>
  <c r="AB325" i="35" s="1"/>
  <c r="AC325" i="35" s="1"/>
  <c r="AD325" i="35" s="1"/>
  <c r="AE325" i="35" s="1"/>
  <c r="AF325" i="35" s="1"/>
  <c r="AG325" i="35" s="1"/>
  <c r="AH325" i="35" s="1"/>
  <c r="AI325" i="35" s="1"/>
  <c r="AJ325" i="35" s="1"/>
  <c r="AK325" i="35" s="1"/>
  <c r="AL325" i="35" s="1"/>
  <c r="AM325" i="35" s="1"/>
  <c r="AN325" i="35" s="1"/>
  <c r="AO325" i="35" s="1"/>
  <c r="U332" i="35"/>
  <c r="V332" i="35" s="1"/>
  <c r="W332" i="35" s="1"/>
  <c r="U324" i="35"/>
  <c r="V324" i="35" s="1"/>
  <c r="W324" i="35" s="1"/>
  <c r="X324" i="35" s="1"/>
  <c r="Y324" i="35" s="1"/>
  <c r="Z324" i="35" s="1"/>
  <c r="AA324" i="35" s="1"/>
  <c r="AB324" i="35" s="1"/>
  <c r="AC324" i="35" s="1"/>
  <c r="AD324" i="35" s="1"/>
  <c r="AE324" i="35" s="1"/>
  <c r="AF324" i="35" s="1"/>
  <c r="AG324" i="35" s="1"/>
  <c r="AH324" i="35" s="1"/>
  <c r="AI324" i="35" s="1"/>
  <c r="AJ324" i="35" s="1"/>
  <c r="AK324" i="35" s="1"/>
  <c r="AL324" i="35" s="1"/>
  <c r="AM324" i="35" s="1"/>
  <c r="AN324" i="35" s="1"/>
  <c r="AO324" i="35" s="1"/>
  <c r="U323" i="35"/>
  <c r="V323" i="35" s="1"/>
  <c r="W323" i="35" s="1"/>
  <c r="X323" i="35" s="1"/>
  <c r="Y323" i="35" s="1"/>
  <c r="Z323" i="35" s="1"/>
  <c r="AA323" i="35" s="1"/>
  <c r="AB323" i="35" s="1"/>
  <c r="AC323" i="35" s="1"/>
  <c r="AD323" i="35" s="1"/>
  <c r="AE323" i="35" s="1"/>
  <c r="AF323" i="35" s="1"/>
  <c r="AG323" i="35" s="1"/>
  <c r="AH323" i="35" s="1"/>
  <c r="AI323" i="35" s="1"/>
  <c r="AJ323" i="35" s="1"/>
  <c r="AK323" i="35" s="1"/>
  <c r="AL323" i="35" s="1"/>
  <c r="AM323" i="35" s="1"/>
  <c r="AN323" i="35" s="1"/>
  <c r="AO323" i="35" s="1"/>
  <c r="S331" i="35"/>
  <c r="T331" i="35" s="1"/>
  <c r="U331" i="35" s="1"/>
  <c r="V331" i="35" s="1"/>
  <c r="S330" i="35"/>
  <c r="T330" i="35" s="1"/>
  <c r="U330" i="35" s="1"/>
  <c r="S329" i="35"/>
  <c r="T329" i="35" s="1"/>
  <c r="AQ332" i="35"/>
  <c r="AR332" i="35" s="1"/>
  <c r="AS332" i="35" s="1"/>
  <c r="AT332" i="35" s="1"/>
  <c r="AU332" i="35" s="1"/>
  <c r="AV332" i="35" s="1"/>
  <c r="AQ331" i="35"/>
  <c r="AR331" i="35" s="1"/>
  <c r="AS331" i="35" s="1"/>
  <c r="AT331" i="35" s="1"/>
  <c r="AU331" i="35" s="1"/>
  <c r="AQ330" i="35"/>
  <c r="AR330" i="35" s="1"/>
  <c r="AS330" i="35" s="1"/>
  <c r="AT330" i="35" s="1"/>
  <c r="AQ329" i="35"/>
  <c r="AR329" i="35" s="1"/>
  <c r="AS329" i="35" s="1"/>
  <c r="AQ323" i="35"/>
  <c r="AR323" i="35" s="1"/>
  <c r="AS323" i="35" s="1"/>
  <c r="AR322" i="35"/>
  <c r="AS322" i="35" s="1"/>
  <c r="AT322" i="35" s="1"/>
  <c r="AU322" i="35" s="1"/>
  <c r="AV322" i="35" s="1"/>
  <c r="AW322" i="35" s="1"/>
  <c r="AX322" i="35" s="1"/>
  <c r="AY322" i="35" s="1"/>
  <c r="AZ322" i="35" s="1"/>
  <c r="BA322" i="35" s="1"/>
  <c r="BB322" i="35" s="1"/>
  <c r="BC322" i="35" s="1"/>
  <c r="BD322" i="35" s="1"/>
  <c r="BE322" i="35" s="1"/>
  <c r="BF322" i="35" s="1"/>
  <c r="BG322" i="35" s="1"/>
  <c r="BH322" i="35" s="1"/>
  <c r="BI322" i="35" s="1"/>
  <c r="BJ322" i="35" s="1"/>
  <c r="BK322" i="35" s="1"/>
  <c r="BL322" i="35" s="1"/>
  <c r="BM322" i="35" s="1"/>
  <c r="BN322" i="35" s="1"/>
  <c r="J338" i="35"/>
  <c r="K338" i="35" s="1"/>
  <c r="L338" i="35" s="1"/>
  <c r="M338" i="35" s="1"/>
  <c r="N338" i="35" s="1"/>
  <c r="O338" i="35" s="1"/>
  <c r="P338" i="35" s="1"/>
  <c r="Q338" i="35" s="1"/>
  <c r="R338" i="35" s="1"/>
  <c r="S338" i="35" s="1"/>
  <c r="T338" i="35" s="1"/>
  <c r="U338" i="35" s="1"/>
  <c r="V338" i="35" s="1"/>
  <c r="W338" i="35" s="1"/>
  <c r="X338" i="35" s="1"/>
  <c r="Y338" i="35" s="1"/>
  <c r="Z338" i="35" s="1"/>
  <c r="AA338" i="35" s="1"/>
  <c r="AB338" i="35" s="1"/>
  <c r="AC338" i="35" s="1"/>
  <c r="AD338" i="35" s="1"/>
  <c r="R328" i="35"/>
  <c r="S328" i="35" s="1"/>
  <c r="T328" i="35" s="1"/>
  <c r="U328" i="35" s="1"/>
  <c r="V328" i="35" s="1"/>
  <c r="R327" i="35"/>
  <c r="AQ327" i="35" s="1"/>
  <c r="AR327" i="35" s="1"/>
  <c r="AS327" i="35" s="1"/>
  <c r="R326" i="35"/>
  <c r="S326" i="35" s="1"/>
  <c r="T326" i="35" s="1"/>
  <c r="R325" i="35"/>
  <c r="S325" i="35" s="1"/>
  <c r="R324" i="35"/>
  <c r="S324" i="35" s="1"/>
  <c r="W312" i="35"/>
  <c r="W311" i="35"/>
  <c r="W310" i="35"/>
  <c r="W309" i="35"/>
  <c r="W308" i="35"/>
  <c r="W307" i="35"/>
  <c r="V312" i="35"/>
  <c r="V311" i="35"/>
  <c r="V310" i="35"/>
  <c r="V309" i="35"/>
  <c r="V308" i="35"/>
  <c r="V307" i="35"/>
  <c r="I136" i="29"/>
  <c r="I132" i="29"/>
  <c r="C50" i="26"/>
  <c r="C48" i="26"/>
  <c r="C46" i="26"/>
  <c r="C44" i="26"/>
  <c r="C43" i="26"/>
  <c r="C42" i="26"/>
  <c r="C41" i="26"/>
  <c r="C40" i="26"/>
  <c r="C39" i="26"/>
  <c r="C38" i="26"/>
  <c r="D28" i="30"/>
  <c r="D27" i="30"/>
  <c r="D26" i="30"/>
  <c r="E301" i="35"/>
  <c r="E300" i="35"/>
  <c r="E299" i="35"/>
  <c r="E298" i="35"/>
  <c r="E297" i="35"/>
  <c r="E296" i="35"/>
  <c r="E295" i="35"/>
  <c r="E294" i="35"/>
  <c r="E293" i="35"/>
  <c r="E292" i="35"/>
  <c r="E291" i="35"/>
  <c r="E290" i="35"/>
  <c r="E289" i="35"/>
  <c r="E288" i="35"/>
  <c r="E287" i="35"/>
  <c r="J2" i="35"/>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J1" i="35"/>
  <c r="K1" i="35" s="1"/>
  <c r="L1" i="35" s="1"/>
  <c r="M1" i="35" s="1"/>
  <c r="N1" i="35" s="1"/>
  <c r="O1" i="35" s="1"/>
  <c r="P1" i="35" s="1"/>
  <c r="Q1" i="35" s="1"/>
  <c r="R1" i="35" s="1"/>
  <c r="S1" i="35" s="1"/>
  <c r="T1" i="35" s="1"/>
  <c r="U1" i="35" s="1"/>
  <c r="V1" i="35" s="1"/>
  <c r="W1" i="35" s="1"/>
  <c r="X1" i="35" s="1"/>
  <c r="Y1" i="35" s="1"/>
  <c r="Z1" i="35" s="1"/>
  <c r="AA1" i="35" s="1"/>
  <c r="AB1" i="35" s="1"/>
  <c r="AC1" i="35" s="1"/>
  <c r="AD1" i="35" s="1"/>
  <c r="AE1" i="35" s="1"/>
  <c r="AF1" i="35" s="1"/>
  <c r="AG1" i="35" s="1"/>
  <c r="AH1" i="35" s="1"/>
  <c r="D182" i="35"/>
  <c r="D199" i="35" s="1"/>
  <c r="D216" i="35" s="1"/>
  <c r="D233" i="35" s="1"/>
  <c r="D250" i="35" s="1"/>
  <c r="D267" i="35" s="1"/>
  <c r="D284" i="35" s="1"/>
  <c r="D301" i="35" s="1"/>
  <c r="D181" i="35"/>
  <c r="D198" i="35" s="1"/>
  <c r="D215" i="35" s="1"/>
  <c r="D232" i="35" s="1"/>
  <c r="D249" i="35" s="1"/>
  <c r="D266" i="35" s="1"/>
  <c r="D283" i="35" s="1"/>
  <c r="D300" i="35" s="1"/>
  <c r="E131" i="35"/>
  <c r="E148" i="35" s="1"/>
  <c r="E182" i="35" s="1"/>
  <c r="E199" i="35" s="1"/>
  <c r="E216" i="35" s="1"/>
  <c r="E284" i="35" s="1"/>
  <c r="D131" i="35"/>
  <c r="D148" i="35" s="1"/>
  <c r="D165" i="35" s="1"/>
  <c r="E130" i="35"/>
  <c r="E147" i="35" s="1"/>
  <c r="E181" i="35" s="1"/>
  <c r="E198" i="35" s="1"/>
  <c r="E215" i="35" s="1"/>
  <c r="E283" i="35" s="1"/>
  <c r="D130" i="35"/>
  <c r="D147" i="35" s="1"/>
  <c r="D164" i="35" s="1"/>
  <c r="E129" i="35"/>
  <c r="E146" i="35" s="1"/>
  <c r="E180" i="35" s="1"/>
  <c r="E197" i="35" s="1"/>
  <c r="E214" i="35" s="1"/>
  <c r="E282" i="35" s="1"/>
  <c r="E128" i="35"/>
  <c r="E145" i="35" s="1"/>
  <c r="E179" i="35" s="1"/>
  <c r="E196" i="35" s="1"/>
  <c r="E213" i="35" s="1"/>
  <c r="E281" i="35" s="1"/>
  <c r="E127" i="35"/>
  <c r="E144" i="35" s="1"/>
  <c r="E178" i="35" s="1"/>
  <c r="E195" i="35" s="1"/>
  <c r="E212" i="35" s="1"/>
  <c r="E280" i="35" s="1"/>
  <c r="E126" i="35"/>
  <c r="E143" i="35" s="1"/>
  <c r="E177" i="35" s="1"/>
  <c r="E194" i="35" s="1"/>
  <c r="E211" i="35" s="1"/>
  <c r="E279" i="35" s="1"/>
  <c r="E125" i="35"/>
  <c r="E142" i="35" s="1"/>
  <c r="E176" i="35" s="1"/>
  <c r="E193" i="35" s="1"/>
  <c r="E210" i="35" s="1"/>
  <c r="E278" i="35" s="1"/>
  <c r="E124" i="35"/>
  <c r="E141" i="35" s="1"/>
  <c r="E175" i="35" s="1"/>
  <c r="E192" i="35" s="1"/>
  <c r="E209" i="35" s="1"/>
  <c r="E277" i="35" s="1"/>
  <c r="E123" i="35"/>
  <c r="E140" i="35" s="1"/>
  <c r="E174" i="35" s="1"/>
  <c r="E191" i="35" s="1"/>
  <c r="E208" i="35" s="1"/>
  <c r="E276" i="35" s="1"/>
  <c r="E122" i="35"/>
  <c r="E139" i="35" s="1"/>
  <c r="E173" i="35" s="1"/>
  <c r="E190" i="35" s="1"/>
  <c r="E207" i="35" s="1"/>
  <c r="E275" i="35" s="1"/>
  <c r="E121" i="35"/>
  <c r="E138" i="35" s="1"/>
  <c r="E172" i="35" s="1"/>
  <c r="E189" i="35" s="1"/>
  <c r="E206" i="35" s="1"/>
  <c r="E274" i="35" s="1"/>
  <c r="E120" i="35"/>
  <c r="E137" i="35" s="1"/>
  <c r="E171" i="35" s="1"/>
  <c r="E188" i="35" s="1"/>
  <c r="E205" i="35" s="1"/>
  <c r="E273" i="35" s="1"/>
  <c r="E119" i="35"/>
  <c r="E136" i="35" s="1"/>
  <c r="E170" i="35" s="1"/>
  <c r="E187" i="35" s="1"/>
  <c r="E204" i="35" s="1"/>
  <c r="E272" i="35" s="1"/>
  <c r="E118" i="35"/>
  <c r="E135" i="35" s="1"/>
  <c r="E169" i="35" s="1"/>
  <c r="E186" i="35" s="1"/>
  <c r="E203" i="35" s="1"/>
  <c r="E271" i="35" s="1"/>
  <c r="E117" i="35"/>
  <c r="E134" i="35" s="1"/>
  <c r="E168" i="35" s="1"/>
  <c r="E185" i="35" s="1"/>
  <c r="N97" i="35"/>
  <c r="M97" i="35"/>
  <c r="L97" i="35"/>
  <c r="N93" i="35"/>
  <c r="M93" i="35"/>
  <c r="L93" i="35"/>
  <c r="N91" i="35"/>
  <c r="M91" i="35"/>
  <c r="L91" i="35"/>
  <c r="N89" i="35"/>
  <c r="M89" i="35"/>
  <c r="L89" i="35"/>
  <c r="N87" i="35"/>
  <c r="M87" i="35"/>
  <c r="L87" i="35"/>
  <c r="E71" i="35"/>
  <c r="E54" i="35"/>
  <c r="D51" i="35"/>
  <c r="D71" i="35" s="1"/>
  <c r="E50" i="35"/>
  <c r="E70" i="35" s="1"/>
  <c r="E49" i="35"/>
  <c r="E69" i="35" s="1"/>
  <c r="E48" i="35"/>
  <c r="E68" i="35" s="1"/>
  <c r="E47" i="35"/>
  <c r="E67" i="35" s="1"/>
  <c r="D47" i="35"/>
  <c r="D67" i="35" s="1"/>
  <c r="D93" i="35" s="1"/>
  <c r="D109" i="35" s="1"/>
  <c r="E46" i="35"/>
  <c r="E66" i="35" s="1"/>
  <c r="D46" i="35"/>
  <c r="D66" i="35" s="1"/>
  <c r="D92" i="35" s="1"/>
  <c r="D108" i="35" s="1"/>
  <c r="E45" i="35"/>
  <c r="E65" i="35" s="1"/>
  <c r="D45" i="35"/>
  <c r="D65" i="35" s="1"/>
  <c r="D91" i="35" s="1"/>
  <c r="D107" i="35" s="1"/>
  <c r="E44" i="35"/>
  <c r="E64" i="35" s="1"/>
  <c r="D44" i="35"/>
  <c r="D64" i="35" s="1"/>
  <c r="D90" i="35" s="1"/>
  <c r="D106" i="35" s="1"/>
  <c r="E43" i="35"/>
  <c r="E63" i="35" s="1"/>
  <c r="D43" i="35"/>
  <c r="D63" i="35" s="1"/>
  <c r="D89" i="35" s="1"/>
  <c r="D105" i="35" s="1"/>
  <c r="E42" i="35"/>
  <c r="E62" i="35" s="1"/>
  <c r="D42" i="35"/>
  <c r="D62" i="35" s="1"/>
  <c r="D88" i="35" s="1"/>
  <c r="D104" i="35" s="1"/>
  <c r="E41" i="35"/>
  <c r="E61" i="35" s="1"/>
  <c r="D41" i="35"/>
  <c r="D61" i="35" s="1"/>
  <c r="D87" i="35" s="1"/>
  <c r="D103" i="35" s="1"/>
  <c r="E40" i="35"/>
  <c r="E60" i="35" s="1"/>
  <c r="D40" i="35"/>
  <c r="D60" i="35" s="1"/>
  <c r="D86" i="35" s="1"/>
  <c r="D102" i="35" s="1"/>
  <c r="E39" i="35"/>
  <c r="E59" i="35" s="1"/>
  <c r="E38" i="35"/>
  <c r="E58" i="35" s="1"/>
  <c r="D38" i="35"/>
  <c r="D58" i="35" s="1"/>
  <c r="D84" i="35" s="1"/>
  <c r="D100" i="35" s="1"/>
  <c r="P21" i="35"/>
  <c r="I21" i="35"/>
  <c r="I18" i="35"/>
  <c r="D18" i="35"/>
  <c r="D34" i="35" s="1"/>
  <c r="D14" i="35"/>
  <c r="D30" i="35" s="1"/>
  <c r="D13" i="35"/>
  <c r="D29" i="35" s="1"/>
  <c r="D12" i="35"/>
  <c r="D28" i="35" s="1"/>
  <c r="D11" i="35"/>
  <c r="D27" i="35" s="1"/>
  <c r="D10" i="35"/>
  <c r="D26" i="35" s="1"/>
  <c r="D9" i="35"/>
  <c r="D25" i="35" s="1"/>
  <c r="D8" i="35"/>
  <c r="D24" i="35" s="1"/>
  <c r="D7" i="35"/>
  <c r="D23" i="35" s="1"/>
  <c r="K6" i="35"/>
  <c r="J6" i="35"/>
  <c r="I6" i="35"/>
  <c r="D5" i="35"/>
  <c r="D21" i="35" s="1"/>
  <c r="J340" i="35" l="1"/>
  <c r="J339" i="35"/>
  <c r="J341" i="35"/>
  <c r="U326" i="35"/>
  <c r="L95" i="35"/>
  <c r="S327" i="35"/>
  <c r="AQ325" i="35"/>
  <c r="AR325" i="35" s="1"/>
  <c r="AS325" i="35" s="1"/>
  <c r="AT325" i="35" s="1"/>
  <c r="AU325" i="35" s="1"/>
  <c r="AV325" i="35" s="1"/>
  <c r="X307" i="35"/>
  <c r="X309" i="35"/>
  <c r="AQ324" i="35"/>
  <c r="AR324" i="35" s="1"/>
  <c r="AQ326" i="35"/>
  <c r="AR326" i="35" s="1"/>
  <c r="AS326" i="35" s="1"/>
  <c r="AT326" i="35" s="1"/>
  <c r="AU326" i="35" s="1"/>
  <c r="AV326" i="35" s="1"/>
  <c r="AW326" i="35" s="1"/>
  <c r="I339" i="35"/>
  <c r="AQ328" i="35"/>
  <c r="AR328" i="35" s="1"/>
  <c r="AS328" i="35" s="1"/>
  <c r="AT328" i="35" s="1"/>
  <c r="AU328" i="35" s="1"/>
  <c r="AV328" i="35" s="1"/>
  <c r="AW328" i="35" s="1"/>
  <c r="AX328" i="35" s="1"/>
  <c r="AY328" i="35" s="1"/>
  <c r="AZ328" i="35" s="1"/>
  <c r="BA328" i="35" s="1"/>
  <c r="BB328" i="35" s="1"/>
  <c r="X308" i="35"/>
  <c r="I341" i="35"/>
  <c r="I340" i="35"/>
  <c r="AT327" i="35"/>
  <c r="AU327" i="35" s="1"/>
  <c r="AV327" i="35" s="1"/>
  <c r="AW327" i="35" s="1"/>
  <c r="AX327" i="35" s="1"/>
  <c r="AY327" i="35" s="1"/>
  <c r="AZ327" i="35" s="1"/>
  <c r="BA327" i="35" s="1"/>
  <c r="X310" i="35"/>
  <c r="X311" i="35"/>
  <c r="X312" i="35"/>
  <c r="E247" i="35"/>
  <c r="E202" i="35"/>
  <c r="E270" i="35" s="1"/>
  <c r="E253" i="35"/>
  <c r="E236" i="35"/>
  <c r="E248" i="35"/>
  <c r="E266" i="35"/>
  <c r="E237" i="35"/>
  <c r="E249" i="35"/>
  <c r="E260" i="35"/>
  <c r="E238" i="35"/>
  <c r="E250" i="35"/>
  <c r="E261" i="35"/>
  <c r="E267" i="35"/>
  <c r="E239" i="35"/>
  <c r="E240" i="35"/>
  <c r="E241" i="35"/>
  <c r="E254" i="35"/>
  <c r="E262" i="35"/>
  <c r="E242" i="35"/>
  <c r="E255" i="35"/>
  <c r="E256" i="35"/>
  <c r="E263" i="35"/>
  <c r="E264" i="35"/>
  <c r="E243" i="35"/>
  <c r="E257" i="35"/>
  <c r="E244" i="35"/>
  <c r="E245" i="35"/>
  <c r="E258" i="35"/>
  <c r="E265" i="35"/>
  <c r="E246" i="35"/>
  <c r="E259" i="35"/>
  <c r="D173" i="35"/>
  <c r="D190" i="35" s="1"/>
  <c r="D207" i="35" s="1"/>
  <c r="D224" i="35" s="1"/>
  <c r="D241" i="35" s="1"/>
  <c r="D258" i="35" s="1"/>
  <c r="D275" i="35" s="1"/>
  <c r="D292" i="35" s="1"/>
  <c r="D122" i="35"/>
  <c r="D139" i="35" s="1"/>
  <c r="D156" i="35" s="1"/>
  <c r="D170" i="35"/>
  <c r="D187" i="35" s="1"/>
  <c r="D204" i="35" s="1"/>
  <c r="D221" i="35" s="1"/>
  <c r="D238" i="35" s="1"/>
  <c r="D255" i="35" s="1"/>
  <c r="D272" i="35" s="1"/>
  <c r="D289" i="35" s="1"/>
  <c r="D119" i="35"/>
  <c r="D136" i="35" s="1"/>
  <c r="D153" i="35" s="1"/>
  <c r="D176" i="35"/>
  <c r="D193" i="35" s="1"/>
  <c r="D210" i="35" s="1"/>
  <c r="D227" i="35" s="1"/>
  <c r="D244" i="35" s="1"/>
  <c r="D261" i="35" s="1"/>
  <c r="D278" i="35" s="1"/>
  <c r="D295" i="35" s="1"/>
  <c r="D125" i="35"/>
  <c r="D142" i="35" s="1"/>
  <c r="D159" i="35" s="1"/>
  <c r="D174" i="35"/>
  <c r="D191" i="35" s="1"/>
  <c r="D208" i="35" s="1"/>
  <c r="D225" i="35" s="1"/>
  <c r="D242" i="35" s="1"/>
  <c r="D259" i="35" s="1"/>
  <c r="D276" i="35" s="1"/>
  <c r="D293" i="35" s="1"/>
  <c r="D123" i="35"/>
  <c r="D140" i="35" s="1"/>
  <c r="D157" i="35" s="1"/>
  <c r="D177" i="35"/>
  <c r="D194" i="35" s="1"/>
  <c r="D211" i="35" s="1"/>
  <c r="D228" i="35" s="1"/>
  <c r="D245" i="35" s="1"/>
  <c r="D262" i="35" s="1"/>
  <c r="D279" i="35" s="1"/>
  <c r="D296" i="35" s="1"/>
  <c r="D126" i="35"/>
  <c r="D143" i="35" s="1"/>
  <c r="D160" i="35" s="1"/>
  <c r="D172" i="35"/>
  <c r="D189" i="35" s="1"/>
  <c r="D206" i="35" s="1"/>
  <c r="D223" i="35" s="1"/>
  <c r="D240" i="35" s="1"/>
  <c r="D257" i="35" s="1"/>
  <c r="D274" i="35" s="1"/>
  <c r="D291" i="35" s="1"/>
  <c r="D121" i="35"/>
  <c r="D138" i="35" s="1"/>
  <c r="D155" i="35" s="1"/>
  <c r="D175" i="35"/>
  <c r="D192" i="35" s="1"/>
  <c r="D209" i="35" s="1"/>
  <c r="D226" i="35" s="1"/>
  <c r="D243" i="35" s="1"/>
  <c r="D260" i="35" s="1"/>
  <c r="D277" i="35" s="1"/>
  <c r="D294" i="35" s="1"/>
  <c r="D124" i="35"/>
  <c r="D141" i="35" s="1"/>
  <c r="D158" i="35" s="1"/>
  <c r="D168" i="35"/>
  <c r="D185" i="35" s="1"/>
  <c r="D202" i="35" s="1"/>
  <c r="D219" i="35" s="1"/>
  <c r="D236" i="35" s="1"/>
  <c r="D253" i="35" s="1"/>
  <c r="D270" i="35" s="1"/>
  <c r="D287" i="35" s="1"/>
  <c r="D117" i="35"/>
  <c r="D134" i="35" s="1"/>
  <c r="D151" i="35" s="1"/>
  <c r="E74" i="35"/>
  <c r="E53" i="35"/>
  <c r="D171" i="35"/>
  <c r="D188" i="35" s="1"/>
  <c r="D205" i="35" s="1"/>
  <c r="D222" i="35" s="1"/>
  <c r="D239" i="35" s="1"/>
  <c r="D256" i="35" s="1"/>
  <c r="D273" i="35" s="1"/>
  <c r="D290" i="35" s="1"/>
  <c r="D120" i="35"/>
  <c r="D137" i="35" s="1"/>
  <c r="D154" i="35" s="1"/>
  <c r="D25" i="30"/>
  <c r="D27" i="19"/>
  <c r="G12" i="36" s="1"/>
  <c r="L16" i="36" l="1"/>
  <c r="J16" i="36"/>
  <c r="AX326" i="35"/>
  <c r="O343" i="35"/>
  <c r="O342" i="35"/>
  <c r="O344" i="35"/>
  <c r="AS324" i="35"/>
  <c r="J342" i="35"/>
  <c r="J343" i="35"/>
  <c r="J344" i="35"/>
  <c r="T344" i="35"/>
  <c r="T343" i="35"/>
  <c r="T342" i="35"/>
  <c r="S344" i="35"/>
  <c r="S343" i="35"/>
  <c r="S342" i="35"/>
  <c r="T327" i="35"/>
  <c r="I343" i="35"/>
  <c r="I344" i="35"/>
  <c r="I342" i="35"/>
  <c r="AY326" i="35"/>
  <c r="E73" i="35"/>
  <c r="K16" i="36" l="1"/>
  <c r="M16" i="36"/>
  <c r="N16" i="36"/>
  <c r="K341" i="35"/>
  <c r="K339" i="35"/>
  <c r="K340" i="35"/>
  <c r="AT324" i="35"/>
  <c r="K342" i="35"/>
  <c r="K344" i="35"/>
  <c r="K343" i="35"/>
  <c r="Q343" i="35"/>
  <c r="Q342" i="35"/>
  <c r="Q344" i="35"/>
  <c r="P344" i="35"/>
  <c r="P343" i="35"/>
  <c r="P342" i="35"/>
  <c r="U327" i="35"/>
  <c r="AZ326" i="35"/>
  <c r="P16" i="36" l="1"/>
  <c r="O16" i="36"/>
  <c r="L341" i="35"/>
  <c r="L339" i="35"/>
  <c r="L340" i="35"/>
  <c r="L342" i="35"/>
  <c r="L343" i="35"/>
  <c r="L344" i="35"/>
  <c r="AU324" i="35"/>
  <c r="R344" i="35"/>
  <c r="R343" i="35"/>
  <c r="R342" i="35"/>
  <c r="V327" i="35"/>
  <c r="Q16" i="36" l="1"/>
  <c r="R16" i="36"/>
  <c r="M341" i="35"/>
  <c r="M340" i="35"/>
  <c r="M339" i="35"/>
  <c r="M342" i="35"/>
  <c r="M343" i="35"/>
  <c r="M344" i="35"/>
  <c r="AV324" i="35"/>
  <c r="H132" i="29"/>
  <c r="D25" i="19"/>
  <c r="G88" i="29"/>
  <c r="D23" i="19"/>
  <c r="G100" i="29" s="1"/>
  <c r="K13" i="28"/>
  <c r="K12" i="28"/>
  <c r="F12" i="28" s="1"/>
  <c r="K11" i="28"/>
  <c r="F11" i="28"/>
  <c r="K3" i="28"/>
  <c r="K4" i="28"/>
  <c r="F4" i="28" s="1"/>
  <c r="K5" i="28"/>
  <c r="F5" i="28" s="1"/>
  <c r="K6" i="28"/>
  <c r="K7" i="28"/>
  <c r="F7" i="28" s="1"/>
  <c r="K8" i="28"/>
  <c r="F8" i="28" s="1"/>
  <c r="K9" i="28"/>
  <c r="K10" i="28"/>
  <c r="I10" i="28"/>
  <c r="G103" i="29"/>
  <c r="G84" i="29"/>
  <c r="G101" i="29"/>
  <c r="G99" i="29"/>
  <c r="D5" i="19"/>
  <c r="D107" i="29"/>
  <c r="D106" i="29"/>
  <c r="D105" i="29"/>
  <c r="G97" i="29"/>
  <c r="G95" i="29"/>
  <c r="D96" i="29"/>
  <c r="D20" i="19"/>
  <c r="D19" i="19"/>
  <c r="C8" i="33"/>
  <c r="D8" i="33"/>
  <c r="F48" i="28"/>
  <c r="F47" i="28"/>
  <c r="F14" i="28"/>
  <c r="F13" i="28"/>
  <c r="F10" i="28"/>
  <c r="F9" i="28"/>
  <c r="F6" i="28"/>
  <c r="F3" i="28"/>
  <c r="C48" i="28"/>
  <c r="C47" i="28"/>
  <c r="C46" i="28"/>
  <c r="C45" i="28"/>
  <c r="C44" i="28"/>
  <c r="C43" i="28"/>
  <c r="K71" i="29"/>
  <c r="L71" i="29" s="1"/>
  <c r="M71" i="29" s="1"/>
  <c r="N71" i="29" s="1"/>
  <c r="O71" i="29" s="1"/>
  <c r="P71" i="29" s="1"/>
  <c r="Q71" i="29" s="1"/>
  <c r="R71" i="29" s="1"/>
  <c r="S71" i="29" s="1"/>
  <c r="T71" i="29" s="1"/>
  <c r="U71" i="29" s="1"/>
  <c r="V71" i="29" s="1"/>
  <c r="W71" i="29" s="1"/>
  <c r="X71" i="29" s="1"/>
  <c r="Y71" i="29" s="1"/>
  <c r="Z71" i="29" s="1"/>
  <c r="AA71" i="29" s="1"/>
  <c r="AB71" i="29" s="1"/>
  <c r="AC71" i="29" s="1"/>
  <c r="AD71" i="29" s="1"/>
  <c r="AE71" i="29" s="1"/>
  <c r="AF71" i="29" s="1"/>
  <c r="AG71" i="29" s="1"/>
  <c r="AH71" i="29" s="1"/>
  <c r="J69" i="29"/>
  <c r="K69" i="29" s="1"/>
  <c r="L69" i="29" s="1"/>
  <c r="M69" i="29" s="1"/>
  <c r="N69" i="29" s="1"/>
  <c r="O69" i="29" s="1"/>
  <c r="P69" i="29" s="1"/>
  <c r="Q69" i="29" s="1"/>
  <c r="R69" i="29" s="1"/>
  <c r="S69" i="29" s="1"/>
  <c r="T69" i="29" s="1"/>
  <c r="U69" i="29" s="1"/>
  <c r="V69" i="29" s="1"/>
  <c r="W69" i="29" s="1"/>
  <c r="X69" i="29" s="1"/>
  <c r="Y69" i="29" s="1"/>
  <c r="Z69" i="29" s="1"/>
  <c r="AA69" i="29" s="1"/>
  <c r="AB69" i="29" s="1"/>
  <c r="AC69" i="29" s="1"/>
  <c r="AD69" i="29" s="1"/>
  <c r="AE69" i="29" s="1"/>
  <c r="AF69" i="29" s="1"/>
  <c r="AG69" i="29" s="1"/>
  <c r="AH69" i="29" s="1"/>
  <c r="J67" i="29"/>
  <c r="K67" i="29" s="1"/>
  <c r="L67" i="29" s="1"/>
  <c r="M67" i="29" s="1"/>
  <c r="N67" i="29" s="1"/>
  <c r="O67" i="29" s="1"/>
  <c r="P67" i="29" s="1"/>
  <c r="Q67" i="29" s="1"/>
  <c r="R67" i="29" s="1"/>
  <c r="S67" i="29" s="1"/>
  <c r="T67" i="29" s="1"/>
  <c r="U67" i="29" s="1"/>
  <c r="V67" i="29" s="1"/>
  <c r="W67" i="29" s="1"/>
  <c r="X67" i="29" s="1"/>
  <c r="Y67" i="29" s="1"/>
  <c r="Z67" i="29" s="1"/>
  <c r="AA67" i="29" s="1"/>
  <c r="AB67" i="29" s="1"/>
  <c r="AC67" i="29" s="1"/>
  <c r="AD67" i="29" s="1"/>
  <c r="AE67" i="29" s="1"/>
  <c r="AF67" i="29" s="1"/>
  <c r="AG67" i="29" s="1"/>
  <c r="AH67" i="29" s="1"/>
  <c r="Q66" i="29"/>
  <c r="Q21" i="35" s="1"/>
  <c r="J66" i="29"/>
  <c r="J21" i="35" s="1"/>
  <c r="I70" i="29"/>
  <c r="J70" i="29" s="1"/>
  <c r="K70" i="29" s="1"/>
  <c r="L70" i="29" s="1"/>
  <c r="M70" i="29" s="1"/>
  <c r="N70" i="29" s="1"/>
  <c r="O70" i="29" s="1"/>
  <c r="P70" i="29" s="1"/>
  <c r="Q70" i="29" s="1"/>
  <c r="R70" i="29" s="1"/>
  <c r="S70" i="29" s="1"/>
  <c r="T70" i="29" s="1"/>
  <c r="U70" i="29" s="1"/>
  <c r="V70" i="29" s="1"/>
  <c r="W70" i="29" s="1"/>
  <c r="X70" i="29" s="1"/>
  <c r="Y70" i="29" s="1"/>
  <c r="Z70" i="29" s="1"/>
  <c r="AA70" i="29" s="1"/>
  <c r="AB70" i="29" s="1"/>
  <c r="AC70" i="29" s="1"/>
  <c r="AD70" i="29" s="1"/>
  <c r="AE70" i="29" s="1"/>
  <c r="AF70" i="29" s="1"/>
  <c r="AG70" i="29" s="1"/>
  <c r="AH70" i="29" s="1"/>
  <c r="I68" i="29"/>
  <c r="J68" i="29" s="1"/>
  <c r="K68" i="29" s="1"/>
  <c r="L68" i="29" s="1"/>
  <c r="M68" i="29" s="1"/>
  <c r="N68" i="29" s="1"/>
  <c r="O68" i="29" s="1"/>
  <c r="P68" i="29" s="1"/>
  <c r="Q68" i="29" s="1"/>
  <c r="R68" i="29" s="1"/>
  <c r="S68" i="29" s="1"/>
  <c r="T68" i="29" s="1"/>
  <c r="U68" i="29" s="1"/>
  <c r="V68" i="29" s="1"/>
  <c r="W68" i="29" s="1"/>
  <c r="X68" i="29" s="1"/>
  <c r="Y68" i="29" s="1"/>
  <c r="Z68" i="29" s="1"/>
  <c r="AA68" i="29" s="1"/>
  <c r="AB68" i="29" s="1"/>
  <c r="AC68" i="29" s="1"/>
  <c r="AD68" i="29" s="1"/>
  <c r="AE68" i="29" s="1"/>
  <c r="AF68" i="29" s="1"/>
  <c r="AG68" i="29" s="1"/>
  <c r="AH68" i="29" s="1"/>
  <c r="D71" i="29"/>
  <c r="D70" i="29"/>
  <c r="D68" i="29"/>
  <c r="D69" i="29"/>
  <c r="D67" i="29"/>
  <c r="D66" i="29"/>
  <c r="K57" i="29"/>
  <c r="K5" i="35" s="1"/>
  <c r="J57" i="29"/>
  <c r="J5" i="35" s="1"/>
  <c r="I57" i="29"/>
  <c r="I5" i="35" s="1"/>
  <c r="I38" i="35" s="1"/>
  <c r="J62" i="29"/>
  <c r="K62" i="29" s="1"/>
  <c r="L62" i="29" s="1"/>
  <c r="M62" i="29" s="1"/>
  <c r="N62" i="29" s="1"/>
  <c r="O62" i="29" s="1"/>
  <c r="P62" i="29" s="1"/>
  <c r="Q62" i="29" s="1"/>
  <c r="R62" i="29" s="1"/>
  <c r="S62" i="29" s="1"/>
  <c r="T62" i="29" s="1"/>
  <c r="U62" i="29" s="1"/>
  <c r="V62" i="29" s="1"/>
  <c r="W62" i="29" s="1"/>
  <c r="X62" i="29" s="1"/>
  <c r="Y62" i="29" s="1"/>
  <c r="Z62" i="29" s="1"/>
  <c r="AA62" i="29" s="1"/>
  <c r="AB62" i="29" s="1"/>
  <c r="AC62" i="29" s="1"/>
  <c r="AD62" i="29" s="1"/>
  <c r="AE62" i="29" s="1"/>
  <c r="AF62" i="29" s="1"/>
  <c r="AG62" i="29" s="1"/>
  <c r="AH62" i="29" s="1"/>
  <c r="J61" i="29"/>
  <c r="K61" i="29" s="1"/>
  <c r="L61" i="29" s="1"/>
  <c r="M61" i="29" s="1"/>
  <c r="N61" i="29" s="1"/>
  <c r="O61" i="29" s="1"/>
  <c r="P61" i="29" s="1"/>
  <c r="Q61" i="29" s="1"/>
  <c r="R61" i="29" s="1"/>
  <c r="S61" i="29" s="1"/>
  <c r="T61" i="29" s="1"/>
  <c r="U61" i="29" s="1"/>
  <c r="V61" i="29" s="1"/>
  <c r="W61" i="29" s="1"/>
  <c r="X61" i="29" s="1"/>
  <c r="Y61" i="29" s="1"/>
  <c r="Z61" i="29" s="1"/>
  <c r="AA61" i="29" s="1"/>
  <c r="AB61" i="29" s="1"/>
  <c r="AC61" i="29" s="1"/>
  <c r="AD61" i="29" s="1"/>
  <c r="AE61" i="29" s="1"/>
  <c r="AF61" i="29" s="1"/>
  <c r="AG61" i="29" s="1"/>
  <c r="AH61" i="29" s="1"/>
  <c r="J59" i="29"/>
  <c r="K59" i="29" s="1"/>
  <c r="L59" i="29" s="1"/>
  <c r="M59" i="29" s="1"/>
  <c r="N59" i="29" s="1"/>
  <c r="O59" i="29" s="1"/>
  <c r="P59" i="29" s="1"/>
  <c r="Q59" i="29" s="1"/>
  <c r="R59" i="29" s="1"/>
  <c r="S59" i="29" s="1"/>
  <c r="T59" i="29" s="1"/>
  <c r="U59" i="29" s="1"/>
  <c r="V59" i="29" s="1"/>
  <c r="W59" i="29" s="1"/>
  <c r="X59" i="29" s="1"/>
  <c r="Y59" i="29" s="1"/>
  <c r="Z59" i="29" s="1"/>
  <c r="AA59" i="29" s="1"/>
  <c r="AB59" i="29" s="1"/>
  <c r="AC59" i="29" s="1"/>
  <c r="AD59" i="29" s="1"/>
  <c r="AE59" i="29" s="1"/>
  <c r="AF59" i="29" s="1"/>
  <c r="AG59" i="29" s="1"/>
  <c r="AH59" i="29" s="1"/>
  <c r="J60" i="29"/>
  <c r="K60" i="29" s="1"/>
  <c r="L60" i="29" s="1"/>
  <c r="M60" i="29" s="1"/>
  <c r="N60" i="29" s="1"/>
  <c r="O60" i="29" s="1"/>
  <c r="P60" i="29" s="1"/>
  <c r="Q60" i="29" s="1"/>
  <c r="R60" i="29" s="1"/>
  <c r="S60" i="29" s="1"/>
  <c r="T60" i="29" s="1"/>
  <c r="U60" i="29" s="1"/>
  <c r="V60" i="29" s="1"/>
  <c r="W60" i="29" s="1"/>
  <c r="X60" i="29" s="1"/>
  <c r="Y60" i="29" s="1"/>
  <c r="Z60" i="29" s="1"/>
  <c r="AA60" i="29" s="1"/>
  <c r="AB60" i="29" s="1"/>
  <c r="AC60" i="29" s="1"/>
  <c r="AD60" i="29" s="1"/>
  <c r="AE60" i="29" s="1"/>
  <c r="AF60" i="29" s="1"/>
  <c r="AG60" i="29" s="1"/>
  <c r="AH60" i="29" s="1"/>
  <c r="L58" i="29"/>
  <c r="L6" i="35" s="1"/>
  <c r="G53" i="29"/>
  <c r="G52" i="29"/>
  <c r="G54" i="29"/>
  <c r="AC16" i="28"/>
  <c r="AB16" i="28"/>
  <c r="AA16" i="28"/>
  <c r="Z16" i="28"/>
  <c r="Y16" i="28"/>
  <c r="X16" i="28"/>
  <c r="W16" i="28"/>
  <c r="V16" i="28"/>
  <c r="U16" i="28"/>
  <c r="T16" i="28"/>
  <c r="S16" i="28"/>
  <c r="R16" i="28"/>
  <c r="Q16" i="28"/>
  <c r="P16" i="28"/>
  <c r="O16" i="28"/>
  <c r="N16" i="28"/>
  <c r="M16" i="28"/>
  <c r="AC40" i="28"/>
  <c r="AB40" i="28"/>
  <c r="AA40" i="28"/>
  <c r="Z40" i="28"/>
  <c r="Y40" i="28"/>
  <c r="X40" i="28"/>
  <c r="W40" i="28"/>
  <c r="V40" i="28"/>
  <c r="K40" i="28"/>
  <c r="J40" i="28"/>
  <c r="I40" i="28"/>
  <c r="C38" i="28"/>
  <c r="G49" i="29"/>
  <c r="L38" i="28" s="1"/>
  <c r="M38" i="28" s="1"/>
  <c r="N38" i="28" s="1"/>
  <c r="O38" i="28" s="1"/>
  <c r="P38" i="28" s="1"/>
  <c r="Q38" i="28" s="1"/>
  <c r="R38" i="28" s="1"/>
  <c r="S38" i="28" s="1"/>
  <c r="G47" i="29"/>
  <c r="L37" i="28" s="1"/>
  <c r="M37" i="28" s="1"/>
  <c r="N37" i="28" s="1"/>
  <c r="O37" i="28" s="1"/>
  <c r="P37" i="28" s="1"/>
  <c r="Q37" i="28" s="1"/>
  <c r="R37" i="28" s="1"/>
  <c r="S37" i="28" s="1"/>
  <c r="T37" i="28" s="1"/>
  <c r="U37" i="28" s="1"/>
  <c r="G46" i="29"/>
  <c r="M34" i="28" s="1"/>
  <c r="N34" i="28" s="1"/>
  <c r="O34" i="28" s="1"/>
  <c r="P34" i="28" s="1"/>
  <c r="Q34" i="28" s="1"/>
  <c r="G45" i="29"/>
  <c r="L36" i="28" s="1"/>
  <c r="M36" i="28" s="1"/>
  <c r="N36" i="28" s="1"/>
  <c r="O36" i="28" s="1"/>
  <c r="P36" i="28" s="1"/>
  <c r="Q36" i="28" s="1"/>
  <c r="R36" i="28" s="1"/>
  <c r="S36" i="28" s="1"/>
  <c r="T36" i="28" s="1"/>
  <c r="U36" i="28" s="1"/>
  <c r="G14" i="29"/>
  <c r="G10" i="29"/>
  <c r="G39" i="29"/>
  <c r="J21" i="28"/>
  <c r="K21" i="28" s="1"/>
  <c r="I21" i="28"/>
  <c r="J20" i="28"/>
  <c r="K20" i="28" s="1"/>
  <c r="I20" i="28"/>
  <c r="I19" i="28"/>
  <c r="J19" i="28" s="1"/>
  <c r="K19" i="28" s="1"/>
  <c r="L19" i="28" s="1"/>
  <c r="I14" i="28"/>
  <c r="J14" i="28" s="1"/>
  <c r="K14" i="28" s="1"/>
  <c r="L14" i="28" s="1"/>
  <c r="L16" i="28" s="1"/>
  <c r="J13" i="28"/>
  <c r="I13" i="28"/>
  <c r="J11" i="28"/>
  <c r="I11" i="28"/>
  <c r="J10" i="28"/>
  <c r="J9" i="28"/>
  <c r="I9" i="28"/>
  <c r="G48" i="29" s="1"/>
  <c r="L35" i="28" s="1"/>
  <c r="M35" i="28" s="1"/>
  <c r="N35" i="28" s="1"/>
  <c r="O35" i="28" s="1"/>
  <c r="P35" i="28" s="1"/>
  <c r="Q35" i="28" s="1"/>
  <c r="R35" i="28" s="1"/>
  <c r="S35" i="28" s="1"/>
  <c r="T35" i="28" s="1"/>
  <c r="U35" i="28" s="1"/>
  <c r="I8" i="28"/>
  <c r="J8" i="28" s="1"/>
  <c r="J7" i="28"/>
  <c r="J6" i="28"/>
  <c r="J5" i="28"/>
  <c r="I5" i="28"/>
  <c r="J4" i="28"/>
  <c r="N20" i="28"/>
  <c r="O20" i="28" s="1"/>
  <c r="N21" i="28"/>
  <c r="O21" i="28" s="1"/>
  <c r="G96" i="29" l="1"/>
  <c r="V59" i="35" s="1"/>
  <c r="D21" i="19"/>
  <c r="T16" i="36"/>
  <c r="R17" i="36"/>
  <c r="G108" i="29"/>
  <c r="I51" i="35" s="1"/>
  <c r="S16" i="36"/>
  <c r="Q17" i="36"/>
  <c r="G106" i="29"/>
  <c r="G107" i="29"/>
  <c r="G105" i="29"/>
  <c r="N342" i="35"/>
  <c r="N344" i="35"/>
  <c r="N343" i="35"/>
  <c r="I151" i="35"/>
  <c r="I100" i="35"/>
  <c r="I134" i="35"/>
  <c r="I117" i="35"/>
  <c r="I164" i="35"/>
  <c r="I113" i="35"/>
  <c r="I130" i="35"/>
  <c r="AB66" i="35"/>
  <c r="P66" i="35"/>
  <c r="AA66" i="35"/>
  <c r="O66" i="35"/>
  <c r="Y66" i="35"/>
  <c r="M66" i="35"/>
  <c r="W66" i="35"/>
  <c r="K66" i="35"/>
  <c r="V66" i="35"/>
  <c r="J66" i="35"/>
  <c r="U66" i="35"/>
  <c r="I66" i="35"/>
  <c r="T66" i="35"/>
  <c r="S66" i="35"/>
  <c r="AC66" i="35"/>
  <c r="Q66" i="35"/>
  <c r="R66" i="35"/>
  <c r="R46" i="35"/>
  <c r="L66" i="35"/>
  <c r="P46" i="35"/>
  <c r="N66" i="35"/>
  <c r="AC46" i="35"/>
  <c r="Q46" i="35"/>
  <c r="AB46" i="35"/>
  <c r="AA46" i="35"/>
  <c r="O46" i="35"/>
  <c r="N46" i="35"/>
  <c r="Z46" i="35"/>
  <c r="Y46" i="35"/>
  <c r="M46" i="35"/>
  <c r="X46" i="35"/>
  <c r="L46" i="35"/>
  <c r="W46" i="35"/>
  <c r="K46" i="35"/>
  <c r="Z66" i="35"/>
  <c r="V46" i="35"/>
  <c r="J46" i="35"/>
  <c r="U46" i="35"/>
  <c r="I46" i="35"/>
  <c r="X66" i="35"/>
  <c r="S46" i="35"/>
  <c r="T46" i="35"/>
  <c r="D39" i="35"/>
  <c r="D59" i="35" s="1"/>
  <c r="D85" i="35" s="1"/>
  <c r="D101" i="35" s="1"/>
  <c r="D6" i="35"/>
  <c r="D22" i="35" s="1"/>
  <c r="AB63" i="35"/>
  <c r="AB190" i="35" s="1"/>
  <c r="P63" i="35"/>
  <c r="P190" i="35" s="1"/>
  <c r="AA63" i="35"/>
  <c r="AA190" i="35" s="1"/>
  <c r="O63" i="35"/>
  <c r="O190" i="35" s="1"/>
  <c r="Y63" i="35"/>
  <c r="Y190" i="35" s="1"/>
  <c r="M63" i="35"/>
  <c r="M190" i="35" s="1"/>
  <c r="W63" i="35"/>
  <c r="W190" i="35" s="1"/>
  <c r="K63" i="35"/>
  <c r="K190" i="35" s="1"/>
  <c r="V63" i="35"/>
  <c r="V190" i="35" s="1"/>
  <c r="J63" i="35"/>
  <c r="J190" i="35" s="1"/>
  <c r="U63" i="35"/>
  <c r="U190" i="35" s="1"/>
  <c r="I63" i="35"/>
  <c r="T63" i="35"/>
  <c r="T190" i="35" s="1"/>
  <c r="S63" i="35"/>
  <c r="S190" i="35" s="1"/>
  <c r="AC63" i="35"/>
  <c r="AC190" i="35" s="1"/>
  <c r="Q63" i="35"/>
  <c r="Q190" i="35" s="1"/>
  <c r="R43" i="35"/>
  <c r="AB43" i="35"/>
  <c r="AC43" i="35"/>
  <c r="Q43" i="35"/>
  <c r="P43" i="35"/>
  <c r="AA43" i="35"/>
  <c r="O43" i="35"/>
  <c r="Z43" i="35"/>
  <c r="Z63" i="35"/>
  <c r="Z190" i="35" s="1"/>
  <c r="N43" i="35"/>
  <c r="X63" i="35"/>
  <c r="X190" i="35" s="1"/>
  <c r="Y43" i="35"/>
  <c r="M43" i="35"/>
  <c r="R63" i="35"/>
  <c r="R190" i="35" s="1"/>
  <c r="X43" i="35"/>
  <c r="L43" i="35"/>
  <c r="N63" i="35"/>
  <c r="W43" i="35"/>
  <c r="K43" i="35"/>
  <c r="L63" i="35"/>
  <c r="L190" i="35" s="1"/>
  <c r="V43" i="35"/>
  <c r="J43" i="35"/>
  <c r="U43" i="35"/>
  <c r="I43" i="35"/>
  <c r="I156" i="35" s="1"/>
  <c r="S43" i="35"/>
  <c r="T43" i="35"/>
  <c r="J58" i="35"/>
  <c r="I58" i="35"/>
  <c r="P58" i="35"/>
  <c r="P59" i="35"/>
  <c r="K59" i="35"/>
  <c r="Z59" i="35"/>
  <c r="L59" i="35"/>
  <c r="Q58" i="35"/>
  <c r="AB60" i="35"/>
  <c r="P60" i="35"/>
  <c r="AA60" i="35"/>
  <c r="O60" i="35"/>
  <c r="Y60" i="35"/>
  <c r="M60" i="35"/>
  <c r="W60" i="35"/>
  <c r="K60" i="35"/>
  <c r="V60" i="35"/>
  <c r="J60" i="35"/>
  <c r="T60" i="35"/>
  <c r="AC60" i="35"/>
  <c r="Q60" i="35"/>
  <c r="R40" i="35"/>
  <c r="AB40" i="35"/>
  <c r="AC40" i="35"/>
  <c r="Q40" i="35"/>
  <c r="P40" i="35"/>
  <c r="Z60" i="35"/>
  <c r="AA40" i="35"/>
  <c r="O40" i="35"/>
  <c r="Z40" i="35"/>
  <c r="X60" i="35"/>
  <c r="N40" i="35"/>
  <c r="U60" i="35"/>
  <c r="Y40" i="35"/>
  <c r="M40" i="35"/>
  <c r="S60" i="35"/>
  <c r="X40" i="35"/>
  <c r="L40" i="35"/>
  <c r="R60" i="35"/>
  <c r="W40" i="35"/>
  <c r="K40" i="35"/>
  <c r="N60" i="35"/>
  <c r="V40" i="35"/>
  <c r="J40" i="35"/>
  <c r="I60" i="35"/>
  <c r="L60" i="35"/>
  <c r="U40" i="35"/>
  <c r="I40" i="35"/>
  <c r="S40" i="35"/>
  <c r="T40" i="35"/>
  <c r="J38" i="35"/>
  <c r="D48" i="35"/>
  <c r="D68" i="35" s="1"/>
  <c r="D94" i="35" s="1"/>
  <c r="D110" i="35" s="1"/>
  <c r="D15" i="35"/>
  <c r="D31" i="35" s="1"/>
  <c r="D49" i="35"/>
  <c r="D69" i="35" s="1"/>
  <c r="D95" i="35" s="1"/>
  <c r="D111" i="35" s="1"/>
  <c r="D16" i="35"/>
  <c r="D32" i="35" s="1"/>
  <c r="D50" i="35"/>
  <c r="D70" i="35" s="1"/>
  <c r="D96" i="35" s="1"/>
  <c r="D112" i="35" s="1"/>
  <c r="D17" i="35"/>
  <c r="D33" i="35" s="1"/>
  <c r="AB69" i="35"/>
  <c r="P69" i="35"/>
  <c r="AA69" i="35"/>
  <c r="O69" i="35"/>
  <c r="Y69" i="35"/>
  <c r="M69" i="35"/>
  <c r="W69" i="35"/>
  <c r="K69" i="35"/>
  <c r="V69" i="35"/>
  <c r="J69" i="35"/>
  <c r="U69" i="35"/>
  <c r="I69" i="35"/>
  <c r="T69" i="35"/>
  <c r="S69" i="35"/>
  <c r="AC69" i="35"/>
  <c r="Q69" i="35"/>
  <c r="R49" i="35"/>
  <c r="P49" i="35"/>
  <c r="AC49" i="35"/>
  <c r="Q49" i="35"/>
  <c r="AB49" i="35"/>
  <c r="AA49" i="35"/>
  <c r="O49" i="35"/>
  <c r="Z69" i="35"/>
  <c r="Z49" i="35"/>
  <c r="N49" i="35"/>
  <c r="X69" i="35"/>
  <c r="Y49" i="35"/>
  <c r="M49" i="35"/>
  <c r="R69" i="35"/>
  <c r="X49" i="35"/>
  <c r="L49" i="35"/>
  <c r="N69" i="35"/>
  <c r="W49" i="35"/>
  <c r="K49" i="35"/>
  <c r="L69" i="35"/>
  <c r="V49" i="35"/>
  <c r="J49" i="35"/>
  <c r="U49" i="35"/>
  <c r="I49" i="35"/>
  <c r="S49" i="35"/>
  <c r="T49" i="35"/>
  <c r="AB62" i="35"/>
  <c r="P62" i="35"/>
  <c r="AA62" i="35"/>
  <c r="O62" i="35"/>
  <c r="Y62" i="35"/>
  <c r="M62" i="35"/>
  <c r="W62" i="35"/>
  <c r="K62" i="35"/>
  <c r="V62" i="35"/>
  <c r="J62" i="35"/>
  <c r="U62" i="35"/>
  <c r="I62" i="35"/>
  <c r="T62" i="35"/>
  <c r="AC62" i="35"/>
  <c r="Q62" i="35"/>
  <c r="S62" i="35"/>
  <c r="R42" i="35"/>
  <c r="N62" i="35"/>
  <c r="P42" i="35"/>
  <c r="R62" i="35"/>
  <c r="AC42" i="35"/>
  <c r="Q42" i="35"/>
  <c r="AB42" i="35"/>
  <c r="L62" i="35"/>
  <c r="AA42" i="35"/>
  <c r="O42" i="35"/>
  <c r="Z42" i="35"/>
  <c r="N42" i="35"/>
  <c r="Y42" i="35"/>
  <c r="M42" i="35"/>
  <c r="X42" i="35"/>
  <c r="L42" i="35"/>
  <c r="W42" i="35"/>
  <c r="K42" i="35"/>
  <c r="V42" i="35"/>
  <c r="J42" i="35"/>
  <c r="Z62" i="35"/>
  <c r="U42" i="35"/>
  <c r="I42" i="35"/>
  <c r="X62" i="35"/>
  <c r="S42" i="35"/>
  <c r="T42" i="35"/>
  <c r="AB64" i="35"/>
  <c r="P64" i="35"/>
  <c r="AA64" i="35"/>
  <c r="O64" i="35"/>
  <c r="Y64" i="35"/>
  <c r="M64" i="35"/>
  <c r="W64" i="35"/>
  <c r="K64" i="35"/>
  <c r="V64" i="35"/>
  <c r="J64" i="35"/>
  <c r="U64" i="35"/>
  <c r="I64" i="35"/>
  <c r="T64" i="35"/>
  <c r="S64" i="35"/>
  <c r="AC64" i="35"/>
  <c r="Q64" i="35"/>
  <c r="R64" i="35"/>
  <c r="R44" i="35"/>
  <c r="N64" i="35"/>
  <c r="AC44" i="35"/>
  <c r="Q44" i="35"/>
  <c r="AB44" i="35"/>
  <c r="L64" i="35"/>
  <c r="P44" i="35"/>
  <c r="AA44" i="35"/>
  <c r="O44" i="35"/>
  <c r="Z44" i="35"/>
  <c r="N44" i="35"/>
  <c r="Y44" i="35"/>
  <c r="M44" i="35"/>
  <c r="X44" i="35"/>
  <c r="L44" i="35"/>
  <c r="Z64" i="35"/>
  <c r="W44" i="35"/>
  <c r="K44" i="35"/>
  <c r="V44" i="35"/>
  <c r="J44" i="35"/>
  <c r="U44" i="35"/>
  <c r="I44" i="35"/>
  <c r="X64" i="35"/>
  <c r="S44" i="35"/>
  <c r="T44" i="35"/>
  <c r="K38" i="35"/>
  <c r="K66" i="29"/>
  <c r="K21" i="35" s="1"/>
  <c r="I63" i="29"/>
  <c r="I24" i="28" s="1"/>
  <c r="M58" i="29"/>
  <c r="M6" i="35" s="1"/>
  <c r="G102" i="29"/>
  <c r="G98" i="29"/>
  <c r="G104" i="29"/>
  <c r="N44" i="28"/>
  <c r="J43" i="28"/>
  <c r="Q72" i="29"/>
  <c r="Q45" i="28" s="1"/>
  <c r="K63" i="29"/>
  <c r="K24" i="28" s="1"/>
  <c r="F36" i="28"/>
  <c r="I72" i="29"/>
  <c r="I45" i="28" s="1"/>
  <c r="R44" i="28"/>
  <c r="F37" i="28"/>
  <c r="T44" i="28"/>
  <c r="J72" i="29"/>
  <c r="J45" i="28" s="1"/>
  <c r="F38" i="28"/>
  <c r="U44" i="28"/>
  <c r="R66" i="29"/>
  <c r="R21" i="35" s="1"/>
  <c r="X44" i="28"/>
  <c r="J63" i="29"/>
  <c r="J24" i="28" s="1"/>
  <c r="P43" i="28"/>
  <c r="P24" i="34" s="1"/>
  <c r="Y44" i="28"/>
  <c r="S44" i="28"/>
  <c r="Q43" i="28"/>
  <c r="Z44" i="28"/>
  <c r="I44" i="28"/>
  <c r="AC44" i="28"/>
  <c r="J22" i="28"/>
  <c r="L44" i="28"/>
  <c r="I23" i="28"/>
  <c r="M44" i="28"/>
  <c r="F34" i="28"/>
  <c r="I43" i="28"/>
  <c r="F35" i="28"/>
  <c r="Q44" i="28"/>
  <c r="P72" i="29"/>
  <c r="P45" i="28" s="1"/>
  <c r="K44" i="28"/>
  <c r="W44" i="28"/>
  <c r="O44" i="28"/>
  <c r="AA44" i="28"/>
  <c r="P44" i="28"/>
  <c r="AB44" i="28"/>
  <c r="J44" i="28"/>
  <c r="V44" i="28"/>
  <c r="K22" i="28"/>
  <c r="K32" i="34" s="1"/>
  <c r="J23" i="28"/>
  <c r="V23" i="28"/>
  <c r="K23" i="28"/>
  <c r="W23" i="28"/>
  <c r="T23" i="28"/>
  <c r="U23" i="28"/>
  <c r="N23" i="28"/>
  <c r="Z23" i="28"/>
  <c r="L23" i="28"/>
  <c r="M23" i="28"/>
  <c r="O23" i="28"/>
  <c r="AA23" i="28"/>
  <c r="X23" i="28"/>
  <c r="Y23" i="28"/>
  <c r="P23" i="28"/>
  <c r="AB23" i="28"/>
  <c r="Q23" i="28"/>
  <c r="AC23" i="28"/>
  <c r="R23" i="28"/>
  <c r="I22" i="28"/>
  <c r="S23" i="28"/>
  <c r="L57" i="29"/>
  <c r="L5" i="35" s="1"/>
  <c r="G15" i="29"/>
  <c r="I41" i="28"/>
  <c r="I4" i="30" s="1"/>
  <c r="L20" i="28"/>
  <c r="L21" i="28"/>
  <c r="N19" i="28"/>
  <c r="O19" i="28" s="1"/>
  <c r="N59" i="35" l="1"/>
  <c r="W59" i="35"/>
  <c r="R59" i="35"/>
  <c r="M59" i="35"/>
  <c r="S59" i="35"/>
  <c r="Y59" i="35"/>
  <c r="U59" i="35"/>
  <c r="O59" i="35"/>
  <c r="X59" i="35"/>
  <c r="AA59" i="35"/>
  <c r="Q59" i="35"/>
  <c r="AB59" i="35"/>
  <c r="J39" i="35"/>
  <c r="AC59" i="35"/>
  <c r="I39" i="35"/>
  <c r="T59" i="35"/>
  <c r="L39" i="35"/>
  <c r="K39" i="35"/>
  <c r="J59" i="35"/>
  <c r="I59" i="35"/>
  <c r="I32" i="34"/>
  <c r="U16" i="36"/>
  <c r="S17" i="36"/>
  <c r="T17" i="36"/>
  <c r="V16" i="36"/>
  <c r="I24" i="34"/>
  <c r="I28" i="34" s="1"/>
  <c r="I17" i="36"/>
  <c r="G13" i="36"/>
  <c r="J17" i="36"/>
  <c r="L17" i="36"/>
  <c r="N17" i="36"/>
  <c r="M17" i="36"/>
  <c r="K17" i="36"/>
  <c r="O17" i="36"/>
  <c r="P17" i="36"/>
  <c r="J24" i="34"/>
  <c r="I27" i="34"/>
  <c r="I33" i="34"/>
  <c r="I34" i="34"/>
  <c r="I36" i="34"/>
  <c r="I35" i="34"/>
  <c r="I37" i="34"/>
  <c r="J32" i="34"/>
  <c r="P28" i="34"/>
  <c r="P26" i="34"/>
  <c r="P25" i="34"/>
  <c r="P27" i="34"/>
  <c r="P29" i="34"/>
  <c r="Q24" i="34"/>
  <c r="K35" i="34"/>
  <c r="K36" i="34"/>
  <c r="K34" i="34"/>
  <c r="K33" i="34"/>
  <c r="K37" i="34"/>
  <c r="AB223" i="35"/>
  <c r="AB172" i="35"/>
  <c r="AB206" i="35"/>
  <c r="AB189" i="35"/>
  <c r="K170" i="35"/>
  <c r="K221" i="35"/>
  <c r="K204" i="35"/>
  <c r="K187" i="35"/>
  <c r="P210" i="35"/>
  <c r="P176" i="35"/>
  <c r="P193" i="35"/>
  <c r="P227" i="35"/>
  <c r="L223" i="35"/>
  <c r="L172" i="35"/>
  <c r="L206" i="35"/>
  <c r="L189" i="35"/>
  <c r="M230" i="35"/>
  <c r="M213" i="35"/>
  <c r="M196" i="35"/>
  <c r="M179" i="35"/>
  <c r="W170" i="35"/>
  <c r="W221" i="35"/>
  <c r="W204" i="35"/>
  <c r="W187" i="35"/>
  <c r="M156" i="35"/>
  <c r="M292" i="35" s="1"/>
  <c r="M122" i="35"/>
  <c r="M139" i="35"/>
  <c r="M105" i="35"/>
  <c r="Y157" i="35"/>
  <c r="Y123" i="35"/>
  <c r="Y106" i="35"/>
  <c r="Y140" i="35"/>
  <c r="X191" i="35"/>
  <c r="X208" i="35"/>
  <c r="X225" i="35"/>
  <c r="X174" i="35"/>
  <c r="N123" i="35"/>
  <c r="N140" i="35"/>
  <c r="N157" i="35"/>
  <c r="N106" i="35"/>
  <c r="Q174" i="35"/>
  <c r="Q208" i="35"/>
  <c r="Q225" i="35"/>
  <c r="Q191" i="35"/>
  <c r="O174" i="35"/>
  <c r="O208" i="35"/>
  <c r="O225" i="35"/>
  <c r="O191" i="35"/>
  <c r="K155" i="35"/>
  <c r="K121" i="35"/>
  <c r="K104" i="35"/>
  <c r="K138" i="35"/>
  <c r="Q155" i="35"/>
  <c r="Q138" i="35"/>
  <c r="Q121" i="35"/>
  <c r="Q104" i="35"/>
  <c r="J223" i="35"/>
  <c r="J206" i="35"/>
  <c r="J172" i="35"/>
  <c r="J189" i="35"/>
  <c r="I145" i="35"/>
  <c r="I128" i="35"/>
  <c r="I111" i="35"/>
  <c r="Y162" i="35"/>
  <c r="Y145" i="35"/>
  <c r="Y128" i="35"/>
  <c r="Y111" i="35"/>
  <c r="Q230" i="35"/>
  <c r="Q196" i="35"/>
  <c r="Q213" i="35"/>
  <c r="Q179" i="35"/>
  <c r="O230" i="35"/>
  <c r="O196" i="35"/>
  <c r="O213" i="35"/>
  <c r="O179" i="35"/>
  <c r="S136" i="35"/>
  <c r="S153" i="35"/>
  <c r="S119" i="35"/>
  <c r="S102" i="35"/>
  <c r="X136" i="35"/>
  <c r="X153" i="35"/>
  <c r="X119" i="35"/>
  <c r="X102" i="35"/>
  <c r="Q136" i="35"/>
  <c r="Q153" i="35"/>
  <c r="Q102" i="35"/>
  <c r="Q119" i="35"/>
  <c r="Y204" i="35"/>
  <c r="Y187" i="35"/>
  <c r="Y170" i="35"/>
  <c r="Y221" i="35"/>
  <c r="R220" i="35"/>
  <c r="R169" i="35"/>
  <c r="R203" i="35"/>
  <c r="R186" i="35"/>
  <c r="M186" i="35"/>
  <c r="M169" i="35"/>
  <c r="M203" i="35"/>
  <c r="M220" i="35"/>
  <c r="U156" i="35"/>
  <c r="U139" i="35"/>
  <c r="U122" i="35"/>
  <c r="U105" i="35"/>
  <c r="Z193" i="35"/>
  <c r="Z176" i="35"/>
  <c r="Z210" i="35"/>
  <c r="Z227" i="35"/>
  <c r="Q142" i="35"/>
  <c r="Q159" i="35"/>
  <c r="Q108" i="35"/>
  <c r="Q125" i="35"/>
  <c r="U210" i="35"/>
  <c r="U227" i="35"/>
  <c r="U176" i="35"/>
  <c r="U193" i="35"/>
  <c r="W191" i="35"/>
  <c r="W174" i="35"/>
  <c r="W208" i="35"/>
  <c r="W225" i="35"/>
  <c r="W136" i="35"/>
  <c r="W153" i="35"/>
  <c r="W102" i="35"/>
  <c r="W119" i="35"/>
  <c r="J155" i="35"/>
  <c r="J104" i="35"/>
  <c r="J121" i="35"/>
  <c r="J138" i="35"/>
  <c r="P162" i="35"/>
  <c r="P128" i="35"/>
  <c r="P145" i="35"/>
  <c r="P111" i="35"/>
  <c r="R187" i="35"/>
  <c r="R170" i="35"/>
  <c r="R221" i="35"/>
  <c r="R204" i="35"/>
  <c r="R156" i="35"/>
  <c r="R139" i="35"/>
  <c r="R105" i="35"/>
  <c r="R122" i="35"/>
  <c r="U223" i="35"/>
  <c r="U206" i="35"/>
  <c r="U172" i="35"/>
  <c r="U189" i="35"/>
  <c r="W186" i="35"/>
  <c r="W220" i="35"/>
  <c r="W169" i="35"/>
  <c r="W203" i="35"/>
  <c r="I123" i="35"/>
  <c r="I140" i="35"/>
  <c r="Z123" i="35"/>
  <c r="Z106" i="35"/>
  <c r="Z140" i="35"/>
  <c r="Z157" i="35"/>
  <c r="AC174" i="35"/>
  <c r="AC208" i="35"/>
  <c r="AC225" i="35"/>
  <c r="AC191" i="35"/>
  <c r="AA174" i="35"/>
  <c r="AA208" i="35"/>
  <c r="AA225" i="35"/>
  <c r="AA191" i="35"/>
  <c r="W155" i="35"/>
  <c r="W121" i="35"/>
  <c r="W104" i="35"/>
  <c r="W138" i="35"/>
  <c r="AC155" i="35"/>
  <c r="AC138" i="35"/>
  <c r="AC121" i="35"/>
  <c r="AC104" i="35"/>
  <c r="V223" i="35"/>
  <c r="V172" i="35"/>
  <c r="V206" i="35"/>
  <c r="V189" i="35"/>
  <c r="U162" i="35"/>
  <c r="U145" i="35"/>
  <c r="U128" i="35"/>
  <c r="U111" i="35"/>
  <c r="X230" i="35"/>
  <c r="X196" i="35"/>
  <c r="X213" i="35"/>
  <c r="X179" i="35"/>
  <c r="AC230" i="35"/>
  <c r="AC213" i="35"/>
  <c r="AC196" i="35"/>
  <c r="AC179" i="35"/>
  <c r="AA230" i="35"/>
  <c r="AA196" i="35"/>
  <c r="AA213" i="35"/>
  <c r="AA179" i="35"/>
  <c r="I136" i="35"/>
  <c r="I119" i="35"/>
  <c r="S187" i="35"/>
  <c r="S255" i="35" s="1"/>
  <c r="S170" i="35"/>
  <c r="S221" i="35"/>
  <c r="S289" i="35" s="1"/>
  <c r="S204" i="35"/>
  <c r="S272" i="35" s="1"/>
  <c r="AC136" i="35"/>
  <c r="AC153" i="35"/>
  <c r="AC102" i="35"/>
  <c r="AC119" i="35"/>
  <c r="O187" i="35"/>
  <c r="O170" i="35"/>
  <c r="O221" i="35"/>
  <c r="O204" i="35"/>
  <c r="S220" i="35"/>
  <c r="S169" i="35"/>
  <c r="S203" i="35"/>
  <c r="S186" i="35"/>
  <c r="Y186" i="35"/>
  <c r="Y169" i="35"/>
  <c r="Y203" i="35"/>
  <c r="Y220" i="35"/>
  <c r="J156" i="35"/>
  <c r="J139" i="35"/>
  <c r="J122" i="35"/>
  <c r="J105" i="35"/>
  <c r="N156" i="35"/>
  <c r="N292" i="35" s="1"/>
  <c r="N139" i="35"/>
  <c r="N122" i="35"/>
  <c r="N105" i="35"/>
  <c r="K142" i="35"/>
  <c r="K159" i="35"/>
  <c r="K108" i="35"/>
  <c r="K125" i="35"/>
  <c r="AC108" i="35"/>
  <c r="AC142" i="35"/>
  <c r="AC159" i="35"/>
  <c r="AC125" i="35"/>
  <c r="J210" i="35"/>
  <c r="J227" i="35"/>
  <c r="J176" i="35"/>
  <c r="J193" i="35"/>
  <c r="X157" i="35"/>
  <c r="X123" i="35"/>
  <c r="X106" i="35"/>
  <c r="X140" i="35"/>
  <c r="I223" i="35"/>
  <c r="I189" i="35"/>
  <c r="I206" i="35"/>
  <c r="I172" i="35"/>
  <c r="J125" i="35"/>
  <c r="J142" i="35"/>
  <c r="J108" i="35"/>
  <c r="J159" i="35"/>
  <c r="R174" i="35"/>
  <c r="R208" i="35"/>
  <c r="R225" i="35"/>
  <c r="R191" i="35"/>
  <c r="Y230" i="35"/>
  <c r="Y213" i="35"/>
  <c r="Y281" i="35" s="1"/>
  <c r="Y196" i="35"/>
  <c r="Y264" i="35" s="1"/>
  <c r="Y179" i="35"/>
  <c r="P136" i="35"/>
  <c r="P102" i="35"/>
  <c r="P119" i="35"/>
  <c r="P153" i="35"/>
  <c r="Y156" i="35"/>
  <c r="Y122" i="35"/>
  <c r="Y105" i="35"/>
  <c r="Y139" i="35"/>
  <c r="U140" i="35"/>
  <c r="U157" i="35"/>
  <c r="U123" i="35"/>
  <c r="U106" i="35"/>
  <c r="O140" i="35"/>
  <c r="O157" i="35"/>
  <c r="O123" i="35"/>
  <c r="O106" i="35"/>
  <c r="S208" i="35"/>
  <c r="S225" i="35"/>
  <c r="S191" i="35"/>
  <c r="S174" i="35"/>
  <c r="P174" i="35"/>
  <c r="P208" i="35"/>
  <c r="P225" i="35"/>
  <c r="P191" i="35"/>
  <c r="L155" i="35"/>
  <c r="L104" i="35"/>
  <c r="L121" i="35"/>
  <c r="L138" i="35"/>
  <c r="R223" i="35"/>
  <c r="R189" i="35"/>
  <c r="R206" i="35"/>
  <c r="R172" i="35"/>
  <c r="K223" i="35"/>
  <c r="K172" i="35"/>
  <c r="K240" i="35" s="1"/>
  <c r="K206" i="35"/>
  <c r="K274" i="35" s="1"/>
  <c r="K189" i="35"/>
  <c r="J162" i="35"/>
  <c r="J145" i="35"/>
  <c r="J128" i="35"/>
  <c r="J111" i="35"/>
  <c r="N162" i="35"/>
  <c r="N128" i="35"/>
  <c r="N145" i="35"/>
  <c r="N111" i="35"/>
  <c r="S230" i="35"/>
  <c r="S196" i="35"/>
  <c r="S213" i="35"/>
  <c r="S179" i="35"/>
  <c r="P230" i="35"/>
  <c r="P298" i="35" s="1"/>
  <c r="P196" i="35"/>
  <c r="P213" i="35"/>
  <c r="P179" i="35"/>
  <c r="U153" i="35"/>
  <c r="U119" i="35"/>
  <c r="U136" i="35"/>
  <c r="U102" i="35"/>
  <c r="M153" i="35"/>
  <c r="M119" i="35"/>
  <c r="M102" i="35"/>
  <c r="M136" i="35"/>
  <c r="AB136" i="35"/>
  <c r="AB102" i="35"/>
  <c r="AB153" i="35"/>
  <c r="AB119" i="35"/>
  <c r="AA187" i="35"/>
  <c r="AA170" i="35"/>
  <c r="AA221" i="35"/>
  <c r="AA204" i="35"/>
  <c r="U203" i="35"/>
  <c r="U186" i="35"/>
  <c r="U220" i="35"/>
  <c r="U169" i="35"/>
  <c r="O186" i="35"/>
  <c r="O220" i="35"/>
  <c r="O169" i="35"/>
  <c r="O203" i="35"/>
  <c r="V156" i="35"/>
  <c r="V139" i="35"/>
  <c r="V122" i="35"/>
  <c r="V105" i="35"/>
  <c r="W142" i="35"/>
  <c r="W159" i="35"/>
  <c r="W125" i="35"/>
  <c r="W108" i="35"/>
  <c r="N193" i="35"/>
  <c r="N176" i="35"/>
  <c r="N210" i="35"/>
  <c r="N227" i="35"/>
  <c r="V210" i="35"/>
  <c r="V227" i="35"/>
  <c r="V176" i="35"/>
  <c r="V193" i="35"/>
  <c r="N174" i="35"/>
  <c r="N242" i="35" s="1"/>
  <c r="N208" i="35"/>
  <c r="N225" i="35"/>
  <c r="N293" i="35" s="1"/>
  <c r="N191" i="35"/>
  <c r="T156" i="35"/>
  <c r="T292" i="35" s="1"/>
  <c r="T105" i="35"/>
  <c r="T139" i="35"/>
  <c r="T122" i="35"/>
  <c r="M157" i="35"/>
  <c r="M123" i="35"/>
  <c r="M140" i="35"/>
  <c r="M106" i="35"/>
  <c r="R162" i="35"/>
  <c r="R128" i="35"/>
  <c r="R145" i="35"/>
  <c r="R111" i="35"/>
  <c r="AA106" i="35"/>
  <c r="AA140" i="35"/>
  <c r="AA157" i="35"/>
  <c r="AA293" i="35" s="1"/>
  <c r="AA123" i="35"/>
  <c r="AA259" i="35" s="1"/>
  <c r="T191" i="35"/>
  <c r="T208" i="35"/>
  <c r="T174" i="35"/>
  <c r="T225" i="35"/>
  <c r="X155" i="35"/>
  <c r="X121" i="35"/>
  <c r="X104" i="35"/>
  <c r="X138" i="35"/>
  <c r="P155" i="35"/>
  <c r="P138" i="35"/>
  <c r="P121" i="35"/>
  <c r="P104" i="35"/>
  <c r="W223" i="35"/>
  <c r="W172" i="35"/>
  <c r="W240" i="35" s="1"/>
  <c r="W206" i="35"/>
  <c r="W189" i="35"/>
  <c r="W257" i="35" s="1"/>
  <c r="V162" i="35"/>
  <c r="V145" i="35"/>
  <c r="V128" i="35"/>
  <c r="V111" i="35"/>
  <c r="Z162" i="35"/>
  <c r="Z128" i="35"/>
  <c r="Z145" i="35"/>
  <c r="Z111" i="35"/>
  <c r="T230" i="35"/>
  <c r="T196" i="35"/>
  <c r="T213" i="35"/>
  <c r="T179" i="35"/>
  <c r="AB230" i="35"/>
  <c r="AB196" i="35"/>
  <c r="AB213" i="35"/>
  <c r="AB179" i="35"/>
  <c r="L204" i="35"/>
  <c r="L187" i="35"/>
  <c r="L170" i="35"/>
  <c r="L221" i="35"/>
  <c r="Y153" i="35"/>
  <c r="Y119" i="35"/>
  <c r="Y102" i="35"/>
  <c r="Y136" i="35"/>
  <c r="R136" i="35"/>
  <c r="R153" i="35"/>
  <c r="R119" i="35"/>
  <c r="R102" i="35"/>
  <c r="P187" i="35"/>
  <c r="P170" i="35"/>
  <c r="P238" i="35" s="1"/>
  <c r="P221" i="35"/>
  <c r="P289" i="35" s="1"/>
  <c r="P204" i="35"/>
  <c r="X186" i="35"/>
  <c r="X220" i="35"/>
  <c r="X169" i="35"/>
  <c r="X203" i="35"/>
  <c r="AA186" i="35"/>
  <c r="AA220" i="35"/>
  <c r="AA169" i="35"/>
  <c r="AA203" i="35"/>
  <c r="Z156" i="35"/>
  <c r="Z292" i="35" s="1"/>
  <c r="Z122" i="35"/>
  <c r="Z139" i="35"/>
  <c r="Z105" i="35"/>
  <c r="L142" i="35"/>
  <c r="L159" i="35"/>
  <c r="L125" i="35"/>
  <c r="L108" i="35"/>
  <c r="P142" i="35"/>
  <c r="P108" i="35"/>
  <c r="P159" i="35"/>
  <c r="P125" i="35"/>
  <c r="K227" i="35"/>
  <c r="K193" i="35"/>
  <c r="K210" i="35"/>
  <c r="K278" i="35" s="1"/>
  <c r="K176" i="35"/>
  <c r="K244" i="35" s="1"/>
  <c r="Z223" i="35"/>
  <c r="Z189" i="35"/>
  <c r="Z172" i="35"/>
  <c r="Z206" i="35"/>
  <c r="AC162" i="35"/>
  <c r="AC145" i="35"/>
  <c r="AC128" i="35"/>
  <c r="AC111" i="35"/>
  <c r="I220" i="35"/>
  <c r="I203" i="35"/>
  <c r="I169" i="35"/>
  <c r="I186" i="35"/>
  <c r="S193" i="35"/>
  <c r="S210" i="35"/>
  <c r="S227" i="35"/>
  <c r="S176" i="35"/>
  <c r="R230" i="35"/>
  <c r="R213" i="35"/>
  <c r="R196" i="35"/>
  <c r="R264" i="35" s="1"/>
  <c r="R179" i="35"/>
  <c r="R247" i="35" s="1"/>
  <c r="K186" i="35"/>
  <c r="K220" i="35"/>
  <c r="K203" i="35"/>
  <c r="K169" i="35"/>
  <c r="AA108" i="35"/>
  <c r="AA142" i="35"/>
  <c r="AA125" i="35"/>
  <c r="AA159" i="35"/>
  <c r="S162" i="35"/>
  <c r="S145" i="35"/>
  <c r="S128" i="35"/>
  <c r="S111" i="35"/>
  <c r="M204" i="35"/>
  <c r="M187" i="35"/>
  <c r="M170" i="35"/>
  <c r="M221" i="35"/>
  <c r="J140" i="35"/>
  <c r="J157" i="35"/>
  <c r="J123" i="35"/>
  <c r="J106" i="35"/>
  <c r="V140" i="35"/>
  <c r="V157" i="35"/>
  <c r="V123" i="35"/>
  <c r="V106" i="35"/>
  <c r="P140" i="35"/>
  <c r="P157" i="35"/>
  <c r="P123" i="35"/>
  <c r="P106" i="35"/>
  <c r="I225" i="35"/>
  <c r="I191" i="35"/>
  <c r="I174" i="35"/>
  <c r="I208" i="35"/>
  <c r="T155" i="35"/>
  <c r="T104" i="35"/>
  <c r="T121" i="35"/>
  <c r="T138" i="35"/>
  <c r="M155" i="35"/>
  <c r="M121" i="35"/>
  <c r="M104" i="35"/>
  <c r="M138" i="35"/>
  <c r="N223" i="35"/>
  <c r="N189" i="35"/>
  <c r="N172" i="35"/>
  <c r="N206" i="35"/>
  <c r="M223" i="35"/>
  <c r="M172" i="35"/>
  <c r="M206" i="35"/>
  <c r="M189" i="35"/>
  <c r="L230" i="35"/>
  <c r="L196" i="35"/>
  <c r="L213" i="35"/>
  <c r="L179" i="35"/>
  <c r="Z230" i="35"/>
  <c r="Z196" i="35"/>
  <c r="Z213" i="35"/>
  <c r="Z179" i="35"/>
  <c r="Z247" i="35" s="1"/>
  <c r="I230" i="35"/>
  <c r="I196" i="35"/>
  <c r="I213" i="35"/>
  <c r="I179" i="35"/>
  <c r="I221" i="35"/>
  <c r="I170" i="35"/>
  <c r="I204" i="35"/>
  <c r="I187" i="35"/>
  <c r="U170" i="35"/>
  <c r="U221" i="35"/>
  <c r="U204" i="35"/>
  <c r="U272" i="35" s="1"/>
  <c r="U187" i="35"/>
  <c r="U255" i="35" s="1"/>
  <c r="Q187" i="35"/>
  <c r="Q255" i="35" s="1"/>
  <c r="Q204" i="35"/>
  <c r="Q221" i="35"/>
  <c r="Q170" i="35"/>
  <c r="AB187" i="35"/>
  <c r="AB255" i="35" s="1"/>
  <c r="AB170" i="35"/>
  <c r="AB221" i="35"/>
  <c r="AB289" i="35" s="1"/>
  <c r="AB204" i="35"/>
  <c r="Z186" i="35"/>
  <c r="Z220" i="35"/>
  <c r="Z203" i="35"/>
  <c r="Z169" i="35"/>
  <c r="P186" i="35"/>
  <c r="P203" i="35"/>
  <c r="P220" i="35"/>
  <c r="P169" i="35"/>
  <c r="K156" i="35"/>
  <c r="K292" i="35" s="1"/>
  <c r="K139" i="35"/>
  <c r="K122" i="35"/>
  <c r="K105" i="35"/>
  <c r="O156" i="35"/>
  <c r="O105" i="35"/>
  <c r="O139" i="35"/>
  <c r="O122" i="35"/>
  <c r="X142" i="35"/>
  <c r="X159" i="35"/>
  <c r="X125" i="35"/>
  <c r="X108" i="35"/>
  <c r="L176" i="35"/>
  <c r="L193" i="35"/>
  <c r="L261" i="35" s="1"/>
  <c r="L210" i="35"/>
  <c r="L278" i="35" s="1"/>
  <c r="L227" i="35"/>
  <c r="W227" i="35"/>
  <c r="W210" i="35"/>
  <c r="W278" i="35" s="1"/>
  <c r="W193" i="35"/>
  <c r="W176" i="35"/>
  <c r="M208" i="35"/>
  <c r="M276" i="35" s="1"/>
  <c r="M174" i="35"/>
  <c r="M191" i="35"/>
  <c r="M259" i="35" s="1"/>
  <c r="M225" i="35"/>
  <c r="M293" i="35" s="1"/>
  <c r="L186" i="35"/>
  <c r="L220" i="35"/>
  <c r="L169" i="35"/>
  <c r="L203" i="35"/>
  <c r="AB176" i="35"/>
  <c r="AB210" i="35"/>
  <c r="AB193" i="35"/>
  <c r="AB227" i="35"/>
  <c r="S140" i="35"/>
  <c r="S123" i="35"/>
  <c r="S106" i="35"/>
  <c r="S157" i="35"/>
  <c r="S293" i="35" s="1"/>
  <c r="V155" i="35"/>
  <c r="V121" i="35"/>
  <c r="V138" i="35"/>
  <c r="V104" i="35"/>
  <c r="T153" i="35"/>
  <c r="T119" i="35"/>
  <c r="T102" i="35"/>
  <c r="T136" i="35"/>
  <c r="AB174" i="35"/>
  <c r="AB208" i="35"/>
  <c r="AB225" i="35"/>
  <c r="AB191" i="35"/>
  <c r="K140" i="35"/>
  <c r="K157" i="35"/>
  <c r="K123" i="35"/>
  <c r="K106" i="35"/>
  <c r="L191" i="35"/>
  <c r="L208" i="35"/>
  <c r="L225" i="35"/>
  <c r="L174" i="35"/>
  <c r="U191" i="35"/>
  <c r="U174" i="35"/>
  <c r="U208" i="35"/>
  <c r="U276" i="35" s="1"/>
  <c r="U225" i="35"/>
  <c r="S155" i="35"/>
  <c r="S138" i="35"/>
  <c r="S121" i="35"/>
  <c r="S104" i="35"/>
  <c r="Y155" i="35"/>
  <c r="Y121" i="35"/>
  <c r="Y138" i="35"/>
  <c r="Y104" i="35"/>
  <c r="R155" i="35"/>
  <c r="R138" i="35"/>
  <c r="R121" i="35"/>
  <c r="R104" i="35"/>
  <c r="Y223" i="35"/>
  <c r="Y291" i="35" s="1"/>
  <c r="Y189" i="35"/>
  <c r="Y172" i="35"/>
  <c r="Y206" i="35"/>
  <c r="K162" i="35"/>
  <c r="K128" i="35"/>
  <c r="K145" i="35"/>
  <c r="K111" i="35"/>
  <c r="O162" i="35"/>
  <c r="O128" i="35"/>
  <c r="O145" i="35"/>
  <c r="O111" i="35"/>
  <c r="U230" i="35"/>
  <c r="U298" i="35" s="1"/>
  <c r="U196" i="35"/>
  <c r="U264" i="35" s="1"/>
  <c r="U213" i="35"/>
  <c r="U179" i="35"/>
  <c r="J119" i="35"/>
  <c r="J136" i="35"/>
  <c r="J153" i="35"/>
  <c r="J102" i="35"/>
  <c r="N153" i="35"/>
  <c r="N119" i="35"/>
  <c r="N102" i="35"/>
  <c r="N136" i="35"/>
  <c r="AC187" i="35"/>
  <c r="AC204" i="35"/>
  <c r="AC272" i="35" s="1"/>
  <c r="AC221" i="35"/>
  <c r="AC289" i="35" s="1"/>
  <c r="AC170" i="35"/>
  <c r="AC238" i="35" s="1"/>
  <c r="Q219" i="35"/>
  <c r="Q168" i="35"/>
  <c r="Q202" i="35"/>
  <c r="Q185" i="35"/>
  <c r="Q220" i="35"/>
  <c r="Q169" i="35"/>
  <c r="Q203" i="35"/>
  <c r="Q186" i="35"/>
  <c r="AB186" i="35"/>
  <c r="AB203" i="35"/>
  <c r="AB220" i="35"/>
  <c r="AB169" i="35"/>
  <c r="W156" i="35"/>
  <c r="W122" i="35"/>
  <c r="W139" i="35"/>
  <c r="W105" i="35"/>
  <c r="AA156" i="35"/>
  <c r="AA105" i="35"/>
  <c r="AA139" i="35"/>
  <c r="AA122" i="35"/>
  <c r="T159" i="35"/>
  <c r="T125" i="35"/>
  <c r="T108" i="35"/>
  <c r="T142" i="35"/>
  <c r="M159" i="35"/>
  <c r="M125" i="35"/>
  <c r="M108" i="35"/>
  <c r="M142" i="35"/>
  <c r="R142" i="35"/>
  <c r="R159" i="35"/>
  <c r="R125" i="35"/>
  <c r="R108" i="35"/>
  <c r="M176" i="35"/>
  <c r="M193" i="35"/>
  <c r="M210" i="35"/>
  <c r="M227" i="35"/>
  <c r="X162" i="35"/>
  <c r="X128" i="35"/>
  <c r="X145" i="35"/>
  <c r="X111" i="35"/>
  <c r="AB156" i="35"/>
  <c r="AB105" i="35"/>
  <c r="AB139" i="35"/>
  <c r="AB122" i="35"/>
  <c r="R157" i="35"/>
  <c r="R293" i="35" s="1"/>
  <c r="R123" i="35"/>
  <c r="R140" i="35"/>
  <c r="R106" i="35"/>
  <c r="S156" i="35"/>
  <c r="S292" i="35" s="1"/>
  <c r="S139" i="35"/>
  <c r="S122" i="35"/>
  <c r="S105" i="35"/>
  <c r="M162" i="35"/>
  <c r="M298" i="35" s="1"/>
  <c r="M128" i="35"/>
  <c r="M145" i="35"/>
  <c r="M111" i="35"/>
  <c r="AB108" i="35"/>
  <c r="AB142" i="35"/>
  <c r="AB159" i="35"/>
  <c r="AB125" i="35"/>
  <c r="W140" i="35"/>
  <c r="W157" i="35"/>
  <c r="W123" i="35"/>
  <c r="W106" i="35"/>
  <c r="AB140" i="35"/>
  <c r="AB157" i="35"/>
  <c r="AB123" i="35"/>
  <c r="AB106" i="35"/>
  <c r="J191" i="35"/>
  <c r="J259" i="35" s="1"/>
  <c r="J174" i="35"/>
  <c r="J208" i="35"/>
  <c r="J276" i="35" s="1"/>
  <c r="J225" i="35"/>
  <c r="X223" i="35"/>
  <c r="X172" i="35"/>
  <c r="X206" i="35"/>
  <c r="X189" i="35"/>
  <c r="N155" i="35"/>
  <c r="N291" i="35" s="1"/>
  <c r="N121" i="35"/>
  <c r="N138" i="35"/>
  <c r="N104" i="35"/>
  <c r="S223" i="35"/>
  <c r="S291" i="35" s="1"/>
  <c r="S206" i="35"/>
  <c r="S274" i="35" s="1"/>
  <c r="S172" i="35"/>
  <c r="S240" i="35" s="1"/>
  <c r="S189" i="35"/>
  <c r="O223" i="35"/>
  <c r="O172" i="35"/>
  <c r="O206" i="35"/>
  <c r="O189" i="35"/>
  <c r="W162" i="35"/>
  <c r="W128" i="35"/>
  <c r="W145" i="35"/>
  <c r="W111" i="35"/>
  <c r="AA162" i="35"/>
  <c r="AA298" i="35" s="1"/>
  <c r="AA128" i="35"/>
  <c r="AA145" i="35"/>
  <c r="AA111" i="35"/>
  <c r="J230" i="35"/>
  <c r="J213" i="35"/>
  <c r="J196" i="35"/>
  <c r="J179" i="35"/>
  <c r="J247" i="35" s="1"/>
  <c r="V119" i="35"/>
  <c r="V136" i="35"/>
  <c r="V102" i="35"/>
  <c r="V153" i="35"/>
  <c r="X204" i="35"/>
  <c r="X272" i="35" s="1"/>
  <c r="X187" i="35"/>
  <c r="X170" i="35"/>
  <c r="X221" i="35"/>
  <c r="T187" i="35"/>
  <c r="T255" i="35" s="1"/>
  <c r="T170" i="35"/>
  <c r="T238" i="35" s="1"/>
  <c r="T221" i="35"/>
  <c r="T204" i="35"/>
  <c r="T272" i="35" s="1"/>
  <c r="J101" i="35"/>
  <c r="J152" i="35"/>
  <c r="J118" i="35"/>
  <c r="J135" i="35"/>
  <c r="AC220" i="35"/>
  <c r="AC169" i="35"/>
  <c r="AC203" i="35"/>
  <c r="AC186" i="35"/>
  <c r="P219" i="35"/>
  <c r="P202" i="35"/>
  <c r="P185" i="35"/>
  <c r="P168" i="35"/>
  <c r="N190" i="35"/>
  <c r="P156" i="35"/>
  <c r="P292" i="35" s="1"/>
  <c r="P105" i="35"/>
  <c r="P122" i="35"/>
  <c r="P139" i="35"/>
  <c r="S142" i="35"/>
  <c r="S159" i="35"/>
  <c r="S295" i="35" s="1"/>
  <c r="S125" i="35"/>
  <c r="S108" i="35"/>
  <c r="Y108" i="35"/>
  <c r="Y159" i="35"/>
  <c r="Y125" i="35"/>
  <c r="Y142" i="35"/>
  <c r="R193" i="35"/>
  <c r="R210" i="35"/>
  <c r="R227" i="35"/>
  <c r="R176" i="35"/>
  <c r="Y176" i="35"/>
  <c r="Y193" i="35"/>
  <c r="Y210" i="35"/>
  <c r="Y227" i="35"/>
  <c r="K151" i="35"/>
  <c r="K117" i="35"/>
  <c r="K134" i="35"/>
  <c r="K100" i="35"/>
  <c r="AA155" i="35"/>
  <c r="AA104" i="35"/>
  <c r="AA138" i="35"/>
  <c r="AA121" i="35"/>
  <c r="W230" i="35"/>
  <c r="W196" i="35"/>
  <c r="W213" i="35"/>
  <c r="W179" i="35"/>
  <c r="W247" i="35" s="1"/>
  <c r="V203" i="35"/>
  <c r="V186" i="35"/>
  <c r="V220" i="35"/>
  <c r="V169" i="35"/>
  <c r="O142" i="35"/>
  <c r="O125" i="35"/>
  <c r="O108" i="35"/>
  <c r="O159" i="35"/>
  <c r="T140" i="35"/>
  <c r="T106" i="35"/>
  <c r="T157" i="35"/>
  <c r="T123" i="35"/>
  <c r="T162" i="35"/>
  <c r="T298" i="35" s="1"/>
  <c r="T145" i="35"/>
  <c r="T128" i="35"/>
  <c r="T111" i="35"/>
  <c r="Z187" i="35"/>
  <c r="Z170" i="35"/>
  <c r="Z221" i="35"/>
  <c r="Z204" i="35"/>
  <c r="T193" i="35"/>
  <c r="T210" i="35"/>
  <c r="T278" i="35" s="1"/>
  <c r="T227" i="35"/>
  <c r="T176" i="35"/>
  <c r="Y208" i="35"/>
  <c r="Y276" i="35" s="1"/>
  <c r="Y174" i="35"/>
  <c r="Y191" i="35"/>
  <c r="Y259" i="35" s="1"/>
  <c r="Y225" i="35"/>
  <c r="Y293" i="35" s="1"/>
  <c r="L136" i="35"/>
  <c r="L153" i="35"/>
  <c r="L119" i="35"/>
  <c r="L102" i="35"/>
  <c r="I227" i="35"/>
  <c r="I210" i="35"/>
  <c r="I193" i="35"/>
  <c r="I176" i="35"/>
  <c r="Z174" i="35"/>
  <c r="Z208" i="35"/>
  <c r="Z276" i="35" s="1"/>
  <c r="Z225" i="35"/>
  <c r="Z293" i="35" s="1"/>
  <c r="Z191" i="35"/>
  <c r="Z259" i="35" s="1"/>
  <c r="Q157" i="35"/>
  <c r="Q123" i="35"/>
  <c r="Q140" i="35"/>
  <c r="Q106" i="35"/>
  <c r="V191" i="35"/>
  <c r="V174" i="35"/>
  <c r="V208" i="35"/>
  <c r="V276" i="35" s="1"/>
  <c r="V225" i="35"/>
  <c r="I138" i="35"/>
  <c r="I121" i="35"/>
  <c r="Z155" i="35"/>
  <c r="Z291" i="35" s="1"/>
  <c r="Z121" i="35"/>
  <c r="Z138" i="35"/>
  <c r="Z104" i="35"/>
  <c r="Q223" i="35"/>
  <c r="Q291" i="35" s="1"/>
  <c r="Q172" i="35"/>
  <c r="Q240" i="35" s="1"/>
  <c r="Q189" i="35"/>
  <c r="Q206" i="35"/>
  <c r="Q274" i="35" s="1"/>
  <c r="AA223" i="35"/>
  <c r="AA172" i="35"/>
  <c r="AA240" i="35" s="1"/>
  <c r="AA206" i="35"/>
  <c r="AA189" i="35"/>
  <c r="N230" i="35"/>
  <c r="N298" i="35" s="1"/>
  <c r="N213" i="35"/>
  <c r="N281" i="35" s="1"/>
  <c r="N196" i="35"/>
  <c r="N264" i="35" s="1"/>
  <c r="N179" i="35"/>
  <c r="AB162" i="35"/>
  <c r="AB298" i="35" s="1"/>
  <c r="AB128" i="35"/>
  <c r="AB145" i="35"/>
  <c r="AB111" i="35"/>
  <c r="V230" i="35"/>
  <c r="V196" i="35"/>
  <c r="V213" i="35"/>
  <c r="V179" i="35"/>
  <c r="N187" i="35"/>
  <c r="N204" i="35"/>
  <c r="N170" i="35"/>
  <c r="N221" i="35"/>
  <c r="Z153" i="35"/>
  <c r="Z119" i="35"/>
  <c r="Z102" i="35"/>
  <c r="Z238" i="35" s="1"/>
  <c r="Z136" i="35"/>
  <c r="J170" i="35"/>
  <c r="J221" i="35"/>
  <c r="J289" i="35" s="1"/>
  <c r="J204" i="35"/>
  <c r="J272" i="35" s="1"/>
  <c r="J187" i="35"/>
  <c r="J255" i="35" s="1"/>
  <c r="I101" i="35"/>
  <c r="I135" i="35"/>
  <c r="I118" i="35"/>
  <c r="T169" i="35"/>
  <c r="T203" i="35"/>
  <c r="T186" i="35"/>
  <c r="T220" i="35"/>
  <c r="I219" i="35"/>
  <c r="I287" i="35" s="1"/>
  <c r="I185" i="35"/>
  <c r="I253" i="35" s="1"/>
  <c r="I168" i="35"/>
  <c r="I236" i="35" s="1"/>
  <c r="I202" i="35"/>
  <c r="I270" i="35" s="1"/>
  <c r="L156" i="35"/>
  <c r="L292" i="35" s="1"/>
  <c r="L122" i="35"/>
  <c r="L139" i="35"/>
  <c r="L105" i="35"/>
  <c r="Q156" i="35"/>
  <c r="Q292" i="35" s="1"/>
  <c r="Q105" i="35"/>
  <c r="Q139" i="35"/>
  <c r="Q122" i="35"/>
  <c r="X176" i="35"/>
  <c r="X193" i="35"/>
  <c r="X210" i="35"/>
  <c r="X278" i="35" s="1"/>
  <c r="X227" i="35"/>
  <c r="Z108" i="35"/>
  <c r="Z159" i="35"/>
  <c r="Z125" i="35"/>
  <c r="Z142" i="35"/>
  <c r="Q176" i="35"/>
  <c r="Q193" i="35"/>
  <c r="Q261" i="35" s="1"/>
  <c r="Q210" i="35"/>
  <c r="Q278" i="35" s="1"/>
  <c r="Q227" i="35"/>
  <c r="O176" i="35"/>
  <c r="O193" i="35"/>
  <c r="O261" i="35" s="1"/>
  <c r="O210" i="35"/>
  <c r="O278" i="35" s="1"/>
  <c r="O227" i="35"/>
  <c r="T223" i="35"/>
  <c r="T291" i="35" s="1"/>
  <c r="T172" i="35"/>
  <c r="T206" i="35"/>
  <c r="T189" i="35"/>
  <c r="AA136" i="35"/>
  <c r="AA119" i="35"/>
  <c r="AA102" i="35"/>
  <c r="AA153" i="35"/>
  <c r="U159" i="35"/>
  <c r="U295" i="35" s="1"/>
  <c r="U125" i="35"/>
  <c r="U108" i="35"/>
  <c r="U142" i="35"/>
  <c r="J151" i="35"/>
  <c r="J117" i="35"/>
  <c r="J134" i="35"/>
  <c r="J100" i="35"/>
  <c r="AB155" i="35"/>
  <c r="AB104" i="35"/>
  <c r="AB138" i="35"/>
  <c r="AB121" i="35"/>
  <c r="N186" i="35"/>
  <c r="N220" i="35"/>
  <c r="N203" i="35"/>
  <c r="N169" i="35"/>
  <c r="V125" i="35"/>
  <c r="V108" i="35"/>
  <c r="V142" i="35"/>
  <c r="V159" i="35"/>
  <c r="L101" i="35"/>
  <c r="L135" i="35"/>
  <c r="L152" i="35"/>
  <c r="L118" i="35"/>
  <c r="L157" i="35"/>
  <c r="L293" i="35" s="1"/>
  <c r="L123" i="35"/>
  <c r="L140" i="35"/>
  <c r="L106" i="35"/>
  <c r="AC157" i="35"/>
  <c r="AC123" i="35"/>
  <c r="AC106" i="35"/>
  <c r="AC140" i="35"/>
  <c r="K191" i="35"/>
  <c r="K174" i="35"/>
  <c r="K242" i="35" s="1"/>
  <c r="K208" i="35"/>
  <c r="K276" i="35" s="1"/>
  <c r="K225" i="35"/>
  <c r="U155" i="35"/>
  <c r="U291" i="35" s="1"/>
  <c r="U138" i="35"/>
  <c r="U121" i="35"/>
  <c r="U104" i="35"/>
  <c r="O155" i="35"/>
  <c r="O291" i="35" s="1"/>
  <c r="O138" i="35"/>
  <c r="O104" i="35"/>
  <c r="O121" i="35"/>
  <c r="AC223" i="35"/>
  <c r="AC206" i="35"/>
  <c r="AC189" i="35"/>
  <c r="AC257" i="35" s="1"/>
  <c r="AC172" i="35"/>
  <c r="P223" i="35"/>
  <c r="P172" i="35"/>
  <c r="P240" i="35" s="1"/>
  <c r="P206" i="35"/>
  <c r="P189" i="35"/>
  <c r="L162" i="35"/>
  <c r="L145" i="35"/>
  <c r="L128" i="35"/>
  <c r="L111" i="35"/>
  <c r="Q162" i="35"/>
  <c r="Q128" i="35"/>
  <c r="Q145" i="35"/>
  <c r="Q111" i="35"/>
  <c r="K230" i="35"/>
  <c r="K196" i="35"/>
  <c r="K264" i="35" s="1"/>
  <c r="K213" i="35"/>
  <c r="K281" i="35" s="1"/>
  <c r="K179" i="35"/>
  <c r="K136" i="35"/>
  <c r="K153" i="35"/>
  <c r="K289" i="35" s="1"/>
  <c r="K119" i="35"/>
  <c r="K102" i="35"/>
  <c r="O136" i="35"/>
  <c r="O119" i="35"/>
  <c r="O102" i="35"/>
  <c r="O153" i="35"/>
  <c r="V170" i="35"/>
  <c r="V238" i="35" s="1"/>
  <c r="V221" i="35"/>
  <c r="V204" i="35"/>
  <c r="V187" i="35"/>
  <c r="K101" i="35"/>
  <c r="K135" i="35"/>
  <c r="K118" i="35"/>
  <c r="K152" i="35"/>
  <c r="J203" i="35"/>
  <c r="J271" i="35" s="1"/>
  <c r="J220" i="35"/>
  <c r="J169" i="35"/>
  <c r="J186" i="35"/>
  <c r="J254" i="35" s="1"/>
  <c r="J219" i="35"/>
  <c r="J168" i="35"/>
  <c r="J236" i="35" s="1"/>
  <c r="J202" i="35"/>
  <c r="J185" i="35"/>
  <c r="X156" i="35"/>
  <c r="X292" i="35" s="1"/>
  <c r="X122" i="35"/>
  <c r="X105" i="35"/>
  <c r="X139" i="35"/>
  <c r="AC156" i="35"/>
  <c r="AC105" i="35"/>
  <c r="AC139" i="35"/>
  <c r="AC122" i="35"/>
  <c r="I142" i="35"/>
  <c r="I125" i="35"/>
  <c r="N159" i="35"/>
  <c r="N295" i="35" s="1"/>
  <c r="N125" i="35"/>
  <c r="N108" i="35"/>
  <c r="N142" i="35"/>
  <c r="AC176" i="35"/>
  <c r="AC244" i="35" s="1"/>
  <c r="AC193" i="35"/>
  <c r="AC210" i="35"/>
  <c r="AC227" i="35"/>
  <c r="AA176" i="35"/>
  <c r="AA244" i="35" s="1"/>
  <c r="AA193" i="35"/>
  <c r="AA261" i="35" s="1"/>
  <c r="AA210" i="35"/>
  <c r="AA278" i="35" s="1"/>
  <c r="AA227" i="35"/>
  <c r="M295" i="35"/>
  <c r="I159" i="35"/>
  <c r="I108" i="35"/>
  <c r="I155" i="35"/>
  <c r="I291" i="35" s="1"/>
  <c r="I104" i="35"/>
  <c r="I152" i="35"/>
  <c r="I288" i="35" s="1"/>
  <c r="I162" i="35"/>
  <c r="I157" i="35"/>
  <c r="I106" i="35"/>
  <c r="I153" i="35"/>
  <c r="I102" i="35"/>
  <c r="T289" i="35"/>
  <c r="X291" i="35"/>
  <c r="V298" i="35"/>
  <c r="R298" i="35"/>
  <c r="R292" i="35"/>
  <c r="AA292" i="35"/>
  <c r="V292" i="35"/>
  <c r="W293" i="35"/>
  <c r="M289" i="35"/>
  <c r="L289" i="35"/>
  <c r="V289" i="35"/>
  <c r="X293" i="35"/>
  <c r="O292" i="35"/>
  <c r="U292" i="35"/>
  <c r="J293" i="35"/>
  <c r="J292" i="35"/>
  <c r="W292" i="35"/>
  <c r="Y298" i="35"/>
  <c r="Y292" i="35"/>
  <c r="Q298" i="35"/>
  <c r="O298" i="35"/>
  <c r="AC292" i="35"/>
  <c r="R291" i="35"/>
  <c r="S298" i="35"/>
  <c r="AA289" i="35"/>
  <c r="G224" i="35"/>
  <c r="T293" i="35"/>
  <c r="W291" i="35"/>
  <c r="V295" i="35"/>
  <c r="I293" i="35"/>
  <c r="U289" i="35"/>
  <c r="I292" i="35"/>
  <c r="K295" i="35"/>
  <c r="N289" i="35"/>
  <c r="L295" i="35"/>
  <c r="G40" i="35"/>
  <c r="AA173" i="35"/>
  <c r="AA207" i="35"/>
  <c r="G49" i="35"/>
  <c r="G43" i="35"/>
  <c r="I105" i="35"/>
  <c r="I122" i="35"/>
  <c r="I139" i="35"/>
  <c r="Q173" i="35"/>
  <c r="Q207" i="35"/>
  <c r="O207" i="35"/>
  <c r="O173" i="35"/>
  <c r="G66" i="35"/>
  <c r="S173" i="35"/>
  <c r="S207" i="35"/>
  <c r="P173" i="35"/>
  <c r="P207" i="35"/>
  <c r="Z207" i="35"/>
  <c r="Z173" i="35"/>
  <c r="T173" i="35"/>
  <c r="T207" i="35"/>
  <c r="AB173" i="35"/>
  <c r="AB207" i="35"/>
  <c r="R58" i="35"/>
  <c r="G64" i="35"/>
  <c r="G69" i="35"/>
  <c r="L207" i="35"/>
  <c r="L173" i="35"/>
  <c r="G63" i="35"/>
  <c r="I173" i="35"/>
  <c r="I190" i="35"/>
  <c r="I207" i="35"/>
  <c r="AB67" i="35"/>
  <c r="AB194" i="35" s="1"/>
  <c r="P67" i="35"/>
  <c r="P194" i="35" s="1"/>
  <c r="AA67" i="35"/>
  <c r="AA194" i="35" s="1"/>
  <c r="O67" i="35"/>
  <c r="O194" i="35" s="1"/>
  <c r="Y67" i="35"/>
  <c r="Y194" i="35" s="1"/>
  <c r="M67" i="35"/>
  <c r="M194" i="35" s="1"/>
  <c r="W67" i="35"/>
  <c r="W194" i="35" s="1"/>
  <c r="K67" i="35"/>
  <c r="K194" i="35" s="1"/>
  <c r="V67" i="35"/>
  <c r="V194" i="35" s="1"/>
  <c r="J67" i="35"/>
  <c r="J194" i="35" s="1"/>
  <c r="U67" i="35"/>
  <c r="U194" i="35" s="1"/>
  <c r="I67" i="35"/>
  <c r="T67" i="35"/>
  <c r="T194" i="35" s="1"/>
  <c r="S67" i="35"/>
  <c r="S194" i="35" s="1"/>
  <c r="AC67" i="35"/>
  <c r="AC194" i="35" s="1"/>
  <c r="Q67" i="35"/>
  <c r="Q194" i="35" s="1"/>
  <c r="R47" i="35"/>
  <c r="AB47" i="35"/>
  <c r="AC47" i="35"/>
  <c r="Q47" i="35"/>
  <c r="P47" i="35"/>
  <c r="AA47" i="35"/>
  <c r="O47" i="35"/>
  <c r="Z47" i="35"/>
  <c r="Z67" i="35"/>
  <c r="Z194" i="35" s="1"/>
  <c r="N47" i="35"/>
  <c r="X67" i="35"/>
  <c r="X194" i="35" s="1"/>
  <c r="Y47" i="35"/>
  <c r="M47" i="35"/>
  <c r="R67" i="35"/>
  <c r="R194" i="35" s="1"/>
  <c r="X47" i="35"/>
  <c r="L47" i="35"/>
  <c r="N67" i="35"/>
  <c r="N194" i="35" s="1"/>
  <c r="W47" i="35"/>
  <c r="K47" i="35"/>
  <c r="L67" i="35"/>
  <c r="L194" i="35" s="1"/>
  <c r="V47" i="35"/>
  <c r="J47" i="35"/>
  <c r="U47" i="35"/>
  <c r="I47" i="35"/>
  <c r="I160" i="35" s="1"/>
  <c r="S47" i="35"/>
  <c r="T47" i="35"/>
  <c r="D180" i="35"/>
  <c r="D197" i="35" s="1"/>
  <c r="D214" i="35" s="1"/>
  <c r="D231" i="35" s="1"/>
  <c r="D248" i="35" s="1"/>
  <c r="D265" i="35" s="1"/>
  <c r="D282" i="35" s="1"/>
  <c r="D299" i="35" s="1"/>
  <c r="D129" i="35"/>
  <c r="D146" i="35" s="1"/>
  <c r="D163" i="35" s="1"/>
  <c r="U173" i="35"/>
  <c r="U207" i="35"/>
  <c r="D169" i="35"/>
  <c r="D186" i="35" s="1"/>
  <c r="D203" i="35" s="1"/>
  <c r="D220" i="35" s="1"/>
  <c r="D237" i="35" s="1"/>
  <c r="D254" i="35" s="1"/>
  <c r="D271" i="35" s="1"/>
  <c r="D288" i="35" s="1"/>
  <c r="D118" i="35"/>
  <c r="D135" i="35" s="1"/>
  <c r="D152" i="35" s="1"/>
  <c r="AC173" i="35"/>
  <c r="AC207" i="35"/>
  <c r="J173" i="35"/>
  <c r="J207" i="35"/>
  <c r="G44" i="35"/>
  <c r="L38" i="35"/>
  <c r="AB61" i="35"/>
  <c r="AB188" i="35" s="1"/>
  <c r="P61" i="35"/>
  <c r="P188" i="35" s="1"/>
  <c r="AA61" i="35"/>
  <c r="AA188" i="35" s="1"/>
  <c r="O61" i="35"/>
  <c r="O188" i="35" s="1"/>
  <c r="Y61" i="35"/>
  <c r="Y188" i="35" s="1"/>
  <c r="M61" i="35"/>
  <c r="M188" i="35" s="1"/>
  <c r="W61" i="35"/>
  <c r="W188" i="35" s="1"/>
  <c r="K61" i="35"/>
  <c r="K188" i="35" s="1"/>
  <c r="V61" i="35"/>
  <c r="V188" i="35" s="1"/>
  <c r="J61" i="35"/>
  <c r="J188" i="35" s="1"/>
  <c r="U61" i="35"/>
  <c r="U188" i="35" s="1"/>
  <c r="T61" i="35"/>
  <c r="T188" i="35" s="1"/>
  <c r="AC61" i="35"/>
  <c r="AC188" i="35" s="1"/>
  <c r="Q61" i="35"/>
  <c r="Q188" i="35" s="1"/>
  <c r="I61" i="35"/>
  <c r="R41" i="35"/>
  <c r="AC41" i="35"/>
  <c r="Q41" i="35"/>
  <c r="AB41" i="35"/>
  <c r="P41" i="35"/>
  <c r="AA41" i="35"/>
  <c r="O41" i="35"/>
  <c r="Z41" i="35"/>
  <c r="N41" i="35"/>
  <c r="Y41" i="35"/>
  <c r="M41" i="35"/>
  <c r="Z61" i="35"/>
  <c r="Z188" i="35" s="1"/>
  <c r="X41" i="35"/>
  <c r="L41" i="35"/>
  <c r="X61" i="35"/>
  <c r="X188" i="35" s="1"/>
  <c r="W41" i="35"/>
  <c r="K41" i="35"/>
  <c r="S61" i="35"/>
  <c r="S188" i="35" s="1"/>
  <c r="V41" i="35"/>
  <c r="J41" i="35"/>
  <c r="R61" i="35"/>
  <c r="R188" i="35" s="1"/>
  <c r="U41" i="35"/>
  <c r="I41" i="35"/>
  <c r="I154" i="35" s="1"/>
  <c r="N61" i="35"/>
  <c r="N188" i="35" s="1"/>
  <c r="L61" i="35"/>
  <c r="L188" i="35" s="1"/>
  <c r="S41" i="35"/>
  <c r="T41" i="35"/>
  <c r="AC71" i="35"/>
  <c r="AC198" i="35" s="1"/>
  <c r="Q71" i="35"/>
  <c r="Q198" i="35" s="1"/>
  <c r="AB71" i="35"/>
  <c r="AB198" i="35" s="1"/>
  <c r="P71" i="35"/>
  <c r="P198" i="35" s="1"/>
  <c r="Z71" i="35"/>
  <c r="Z198" i="35" s="1"/>
  <c r="N71" i="35"/>
  <c r="N198" i="35" s="1"/>
  <c r="X71" i="35"/>
  <c r="X198" i="35" s="1"/>
  <c r="L71" i="35"/>
  <c r="L198" i="35" s="1"/>
  <c r="W71" i="35"/>
  <c r="W198" i="35" s="1"/>
  <c r="K71" i="35"/>
  <c r="K198" i="35" s="1"/>
  <c r="V71" i="35"/>
  <c r="V198" i="35" s="1"/>
  <c r="J71" i="35"/>
  <c r="J198" i="35" s="1"/>
  <c r="U71" i="35"/>
  <c r="U198" i="35" s="1"/>
  <c r="I71" i="35"/>
  <c r="I300" i="35" s="1"/>
  <c r="T71" i="35"/>
  <c r="T198" i="35" s="1"/>
  <c r="R71" i="35"/>
  <c r="R198" i="35" s="1"/>
  <c r="S51" i="35"/>
  <c r="AC51" i="35"/>
  <c r="R51" i="35"/>
  <c r="Q51" i="35"/>
  <c r="AA71" i="35"/>
  <c r="AA198" i="35" s="1"/>
  <c r="AB51" i="35"/>
  <c r="P51" i="35"/>
  <c r="AA51" i="35"/>
  <c r="O51" i="35"/>
  <c r="Y71" i="35"/>
  <c r="Y198" i="35" s="1"/>
  <c r="S71" i="35"/>
  <c r="S198" i="35" s="1"/>
  <c r="Z51" i="35"/>
  <c r="N51" i="35"/>
  <c r="O71" i="35"/>
  <c r="O198" i="35" s="1"/>
  <c r="Y51" i="35"/>
  <c r="M51" i="35"/>
  <c r="M71" i="35"/>
  <c r="M198" i="35" s="1"/>
  <c r="X51" i="35"/>
  <c r="L51" i="35"/>
  <c r="W51" i="35"/>
  <c r="K51" i="35"/>
  <c r="V51" i="35"/>
  <c r="J51" i="35"/>
  <c r="T51" i="35"/>
  <c r="U51" i="35"/>
  <c r="G42" i="35"/>
  <c r="D179" i="35"/>
  <c r="D196" i="35" s="1"/>
  <c r="D213" i="35" s="1"/>
  <c r="D230" i="35" s="1"/>
  <c r="D247" i="35" s="1"/>
  <c r="D264" i="35" s="1"/>
  <c r="D281" i="35" s="1"/>
  <c r="D298" i="35" s="1"/>
  <c r="D128" i="35"/>
  <c r="D145" i="35" s="1"/>
  <c r="D162" i="35" s="1"/>
  <c r="G60" i="35"/>
  <c r="G59" i="35"/>
  <c r="N207" i="35"/>
  <c r="N173" i="35"/>
  <c r="V173" i="35"/>
  <c r="V207" i="35"/>
  <c r="V258" i="35"/>
  <c r="K58" i="35"/>
  <c r="AB70" i="35"/>
  <c r="P70" i="35"/>
  <c r="AA70" i="35"/>
  <c r="O70" i="35"/>
  <c r="Y70" i="35"/>
  <c r="M70" i="35"/>
  <c r="W70" i="35"/>
  <c r="K70" i="35"/>
  <c r="V70" i="35"/>
  <c r="J70" i="35"/>
  <c r="U70" i="35"/>
  <c r="I70" i="35"/>
  <c r="T70" i="35"/>
  <c r="S70" i="35"/>
  <c r="AC70" i="35"/>
  <c r="Q70" i="35"/>
  <c r="R70" i="35"/>
  <c r="R50" i="35"/>
  <c r="L70" i="35"/>
  <c r="P50" i="35"/>
  <c r="N70" i="35"/>
  <c r="AC50" i="35"/>
  <c r="Q50" i="35"/>
  <c r="AB50" i="35"/>
  <c r="AA50" i="35"/>
  <c r="O50" i="35"/>
  <c r="N50" i="35"/>
  <c r="Z50" i="35"/>
  <c r="Y50" i="35"/>
  <c r="M50" i="35"/>
  <c r="X50" i="35"/>
  <c r="L50" i="35"/>
  <c r="W50" i="35"/>
  <c r="K50" i="35"/>
  <c r="V50" i="35"/>
  <c r="J50" i="35"/>
  <c r="Z70" i="35"/>
  <c r="U50" i="35"/>
  <c r="I50" i="35"/>
  <c r="X70" i="35"/>
  <c r="S50" i="35"/>
  <c r="T50" i="35"/>
  <c r="K173" i="35"/>
  <c r="K207" i="35"/>
  <c r="AB68" i="35"/>
  <c r="P68" i="35"/>
  <c r="AA68" i="35"/>
  <c r="O68" i="35"/>
  <c r="Y68" i="35"/>
  <c r="M68" i="35"/>
  <c r="W68" i="35"/>
  <c r="K68" i="35"/>
  <c r="V68" i="35"/>
  <c r="J68" i="35"/>
  <c r="U68" i="35"/>
  <c r="I68" i="35"/>
  <c r="T68" i="35"/>
  <c r="S68" i="35"/>
  <c r="AC68" i="35"/>
  <c r="Q68" i="35"/>
  <c r="R68" i="35"/>
  <c r="R48" i="35"/>
  <c r="N68" i="35"/>
  <c r="AC48" i="35"/>
  <c r="Q48" i="35"/>
  <c r="L68" i="35"/>
  <c r="P48" i="35"/>
  <c r="AB48" i="35"/>
  <c r="AA48" i="35"/>
  <c r="O48" i="35"/>
  <c r="Z48" i="35"/>
  <c r="N48" i="35"/>
  <c r="Y48" i="35"/>
  <c r="M48" i="35"/>
  <c r="X48" i="35"/>
  <c r="L48" i="35"/>
  <c r="W48" i="35"/>
  <c r="K48" i="35"/>
  <c r="V48" i="35"/>
  <c r="J48" i="35"/>
  <c r="U48" i="35"/>
  <c r="I48" i="35"/>
  <c r="Z68" i="35"/>
  <c r="X68" i="35"/>
  <c r="S48" i="35"/>
  <c r="T48" i="35"/>
  <c r="D178" i="35"/>
  <c r="D195" i="35" s="1"/>
  <c r="D212" i="35" s="1"/>
  <c r="D229" i="35" s="1"/>
  <c r="D246" i="35" s="1"/>
  <c r="D263" i="35" s="1"/>
  <c r="D280" i="35" s="1"/>
  <c r="D297" i="35" s="1"/>
  <c r="D127" i="35"/>
  <c r="D144" i="35" s="1"/>
  <c r="D161" i="35" s="1"/>
  <c r="W207" i="35"/>
  <c r="W173" i="35"/>
  <c r="G46" i="35"/>
  <c r="AB65" i="35"/>
  <c r="AB192" i="35" s="1"/>
  <c r="P65" i="35"/>
  <c r="P192" i="35" s="1"/>
  <c r="AA65" i="35"/>
  <c r="AA192" i="35" s="1"/>
  <c r="O65" i="35"/>
  <c r="O192" i="35" s="1"/>
  <c r="Y65" i="35"/>
  <c r="Y192" i="35" s="1"/>
  <c r="M65" i="35"/>
  <c r="M192" i="35" s="1"/>
  <c r="W65" i="35"/>
  <c r="W192" i="35" s="1"/>
  <c r="K65" i="35"/>
  <c r="K192" i="35" s="1"/>
  <c r="V65" i="35"/>
  <c r="V192" i="35" s="1"/>
  <c r="J65" i="35"/>
  <c r="J192" i="35" s="1"/>
  <c r="U65" i="35"/>
  <c r="U192" i="35" s="1"/>
  <c r="I65" i="35"/>
  <c r="T65" i="35"/>
  <c r="T192" i="35" s="1"/>
  <c r="S65" i="35"/>
  <c r="S192" i="35" s="1"/>
  <c r="AC65" i="35"/>
  <c r="AC192" i="35" s="1"/>
  <c r="Q65" i="35"/>
  <c r="Q192" i="35" s="1"/>
  <c r="R45" i="35"/>
  <c r="P45" i="35"/>
  <c r="AC45" i="35"/>
  <c r="Q45" i="35"/>
  <c r="AB45" i="35"/>
  <c r="AA45" i="35"/>
  <c r="O45" i="35"/>
  <c r="Z65" i="35"/>
  <c r="Z192" i="35" s="1"/>
  <c r="N45" i="35"/>
  <c r="Z45" i="35"/>
  <c r="X65" i="35"/>
  <c r="X192" i="35" s="1"/>
  <c r="Y45" i="35"/>
  <c r="M45" i="35"/>
  <c r="R65" i="35"/>
  <c r="R192" i="35" s="1"/>
  <c r="X45" i="35"/>
  <c r="L45" i="35"/>
  <c r="N65" i="35"/>
  <c r="N192" i="35" s="1"/>
  <c r="W45" i="35"/>
  <c r="K45" i="35"/>
  <c r="L65" i="35"/>
  <c r="L192" i="35" s="1"/>
  <c r="V45" i="35"/>
  <c r="J45" i="35"/>
  <c r="U45" i="35"/>
  <c r="I45" i="35"/>
  <c r="I158" i="35" s="1"/>
  <c r="S45" i="35"/>
  <c r="T45" i="35"/>
  <c r="G62" i="35"/>
  <c r="R207" i="35"/>
  <c r="R173" i="35"/>
  <c r="M207" i="35"/>
  <c r="M173" i="35"/>
  <c r="X207" i="35"/>
  <c r="X173" i="35"/>
  <c r="M39" i="35"/>
  <c r="Y207" i="35"/>
  <c r="Y173" i="35"/>
  <c r="K72" i="29"/>
  <c r="K45" i="28" s="1"/>
  <c r="K43" i="28"/>
  <c r="L66" i="29"/>
  <c r="L21" i="35" s="1"/>
  <c r="N58" i="29"/>
  <c r="N6" i="35" s="1"/>
  <c r="L63" i="29"/>
  <c r="L24" i="28" s="1"/>
  <c r="S66" i="29"/>
  <c r="S21" i="35" s="1"/>
  <c r="R43" i="28"/>
  <c r="R72" i="29"/>
  <c r="R45" i="28" s="1"/>
  <c r="F23" i="28"/>
  <c r="M57" i="29"/>
  <c r="M5" i="35" s="1"/>
  <c r="L22" i="28"/>
  <c r="I15" i="28"/>
  <c r="J15" i="28"/>
  <c r="J16" i="28" s="1"/>
  <c r="K15" i="28"/>
  <c r="K16" i="28" s="1"/>
  <c r="Y289" i="35" l="1"/>
  <c r="Q293" i="35"/>
  <c r="Y242" i="35"/>
  <c r="K247" i="35"/>
  <c r="Z242" i="35"/>
  <c r="U238" i="35"/>
  <c r="AA295" i="35"/>
  <c r="J238" i="35"/>
  <c r="AB295" i="35"/>
  <c r="M278" i="35"/>
  <c r="U281" i="35"/>
  <c r="Y240" i="35"/>
  <c r="Q257" i="35"/>
  <c r="J242" i="35"/>
  <c r="K261" i="35"/>
  <c r="S238" i="35"/>
  <c r="AC255" i="35"/>
  <c r="Y275" i="35"/>
  <c r="Y247" i="35"/>
  <c r="AA272" i="35"/>
  <c r="N247" i="35"/>
  <c r="M242" i="35"/>
  <c r="AC298" i="35"/>
  <c r="M291" i="35"/>
  <c r="L288" i="35"/>
  <c r="K288" i="35"/>
  <c r="J295" i="35"/>
  <c r="Q295" i="35"/>
  <c r="K291" i="35"/>
  <c r="L291" i="35"/>
  <c r="AB291" i="35"/>
  <c r="O295" i="35"/>
  <c r="T295" i="35"/>
  <c r="V291" i="35"/>
  <c r="P255" i="35"/>
  <c r="Z298" i="35"/>
  <c r="J298" i="35"/>
  <c r="Z289" i="35"/>
  <c r="Q238" i="35"/>
  <c r="K257" i="35"/>
  <c r="K259" i="35"/>
  <c r="Q244" i="35"/>
  <c r="X16" i="36"/>
  <c r="V17" i="36"/>
  <c r="M240" i="35"/>
  <c r="R289" i="35"/>
  <c r="N276" i="35"/>
  <c r="I237" i="35"/>
  <c r="J264" i="35"/>
  <c r="Z281" i="35"/>
  <c r="I26" i="34"/>
  <c r="P257" i="35"/>
  <c r="I25" i="34"/>
  <c r="W16" i="36"/>
  <c r="U17" i="36"/>
  <c r="T244" i="35"/>
  <c r="I29" i="34"/>
  <c r="S257" i="35"/>
  <c r="N275" i="35"/>
  <c r="M257" i="35"/>
  <c r="N259" i="35"/>
  <c r="J240" i="35"/>
  <c r="W272" i="35"/>
  <c r="Q289" i="35"/>
  <c r="M274" i="35"/>
  <c r="AB281" i="35"/>
  <c r="S281" i="35"/>
  <c r="P293" i="35"/>
  <c r="AC295" i="35"/>
  <c r="O289" i="35"/>
  <c r="X298" i="35"/>
  <c r="AC242" i="35"/>
  <c r="U240" i="35"/>
  <c r="W276" i="35"/>
  <c r="Z278" i="35"/>
  <c r="Q281" i="35"/>
  <c r="J274" i="35"/>
  <c r="O276" i="35"/>
  <c r="X276" i="35"/>
  <c r="W289" i="35"/>
  <c r="J288" i="35"/>
  <c r="R295" i="35"/>
  <c r="X295" i="35"/>
  <c r="Q272" i="35"/>
  <c r="V293" i="35"/>
  <c r="AB264" i="35"/>
  <c r="W295" i="35"/>
  <c r="P276" i="35"/>
  <c r="AA247" i="35"/>
  <c r="X289" i="35"/>
  <c r="Q264" i="35"/>
  <c r="J291" i="35"/>
  <c r="O242" i="35"/>
  <c r="X259" i="35"/>
  <c r="W298" i="35"/>
  <c r="L298" i="35"/>
  <c r="AC293" i="35"/>
  <c r="AA274" i="35"/>
  <c r="P274" i="35"/>
  <c r="J281" i="35"/>
  <c r="Z264" i="35"/>
  <c r="I289" i="35"/>
  <c r="O244" i="35"/>
  <c r="AB272" i="35"/>
  <c r="P272" i="35"/>
  <c r="L32" i="34"/>
  <c r="L34" i="34" s="1"/>
  <c r="AC240" i="35"/>
  <c r="T261" i="35"/>
  <c r="O259" i="35"/>
  <c r="U293" i="35"/>
  <c r="AB259" i="35"/>
  <c r="G179" i="35"/>
  <c r="AB247" i="35"/>
  <c r="P259" i="35"/>
  <c r="U242" i="35"/>
  <c r="G172" i="35"/>
  <c r="G119" i="35"/>
  <c r="X264" i="35"/>
  <c r="AC276" i="35"/>
  <c r="U257" i="35"/>
  <c r="Z295" i="35"/>
  <c r="Q247" i="35"/>
  <c r="O293" i="35"/>
  <c r="K38" i="34"/>
  <c r="O257" i="35"/>
  <c r="X257" i="35"/>
  <c r="G156" i="35"/>
  <c r="V264" i="35"/>
  <c r="Q26" i="34"/>
  <c r="Q25" i="34"/>
  <c r="Q27" i="34"/>
  <c r="Q28" i="34"/>
  <c r="Q29" i="34"/>
  <c r="I38" i="34"/>
  <c r="Z244" i="35"/>
  <c r="G221" i="35"/>
  <c r="G220" i="35"/>
  <c r="X261" i="35"/>
  <c r="AA291" i="35"/>
  <c r="Y295" i="35"/>
  <c r="R24" i="34"/>
  <c r="G153" i="35"/>
  <c r="G142" i="35"/>
  <c r="J287" i="35"/>
  <c r="G230" i="35"/>
  <c r="G223" i="35"/>
  <c r="W281" i="35"/>
  <c r="Y278" i="35"/>
  <c r="AB278" i="35"/>
  <c r="G225" i="35"/>
  <c r="Y261" i="35"/>
  <c r="P30" i="34"/>
  <c r="L33" i="34"/>
  <c r="I30" i="34"/>
  <c r="AB293" i="35"/>
  <c r="AC291" i="35"/>
  <c r="J37" i="34"/>
  <c r="J36" i="34"/>
  <c r="J35" i="34"/>
  <c r="J34" i="34"/>
  <c r="J33" i="34"/>
  <c r="K24" i="34"/>
  <c r="W255" i="35"/>
  <c r="G227" i="35"/>
  <c r="J27" i="34"/>
  <c r="J26" i="34"/>
  <c r="J29" i="34"/>
  <c r="J25" i="34"/>
  <c r="J28" i="34"/>
  <c r="J270" i="35"/>
  <c r="J253" i="35"/>
  <c r="Q212" i="35"/>
  <c r="Q195" i="35"/>
  <c r="Q229" i="35"/>
  <c r="Q178" i="35"/>
  <c r="J164" i="35"/>
  <c r="J130" i="35"/>
  <c r="J113" i="35"/>
  <c r="J147" i="35"/>
  <c r="AB276" i="35"/>
  <c r="R281" i="35"/>
  <c r="S264" i="35"/>
  <c r="P244" i="35"/>
  <c r="U158" i="35"/>
  <c r="U107" i="35"/>
  <c r="U141" i="35"/>
  <c r="U124" i="35"/>
  <c r="I161" i="35"/>
  <c r="I144" i="35"/>
  <c r="I127" i="35"/>
  <c r="I110" i="35"/>
  <c r="O144" i="35"/>
  <c r="O161" i="35"/>
  <c r="O127" i="35"/>
  <c r="O110" i="35"/>
  <c r="S212" i="35"/>
  <c r="S229" i="35"/>
  <c r="S195" i="35"/>
  <c r="S178" i="35"/>
  <c r="P195" i="35"/>
  <c r="P212" i="35"/>
  <c r="P229" i="35"/>
  <c r="P178" i="35"/>
  <c r="K146" i="35"/>
  <c r="K163" i="35"/>
  <c r="K129" i="35"/>
  <c r="K112" i="35"/>
  <c r="AC163" i="35"/>
  <c r="AC129" i="35"/>
  <c r="AC146" i="35"/>
  <c r="AC112" i="35"/>
  <c r="J231" i="35"/>
  <c r="J197" i="35"/>
  <c r="J214" i="35"/>
  <c r="J180" i="35"/>
  <c r="V164" i="35"/>
  <c r="V300" i="35" s="1"/>
  <c r="V130" i="35"/>
  <c r="V113" i="35"/>
  <c r="V147" i="35"/>
  <c r="K154" i="35"/>
  <c r="K103" i="35"/>
  <c r="K120" i="35"/>
  <c r="K137" i="35"/>
  <c r="P154" i="35"/>
  <c r="P290" i="35" s="1"/>
  <c r="P103" i="35"/>
  <c r="P120" i="35"/>
  <c r="P137" i="35"/>
  <c r="J160" i="35"/>
  <c r="J143" i="35"/>
  <c r="J109" i="35"/>
  <c r="J126" i="35"/>
  <c r="N160" i="35"/>
  <c r="N126" i="35"/>
  <c r="N109" i="35"/>
  <c r="N143" i="35"/>
  <c r="K298" i="35"/>
  <c r="AC274" i="35"/>
  <c r="V242" i="35"/>
  <c r="I261" i="35"/>
  <c r="G193" i="35"/>
  <c r="O274" i="35"/>
  <c r="X274" i="35"/>
  <c r="U259" i="35"/>
  <c r="AB242" i="35"/>
  <c r="P242" i="35"/>
  <c r="O255" i="35"/>
  <c r="AA281" i="35"/>
  <c r="W259" i="35"/>
  <c r="Z261" i="35"/>
  <c r="Q259" i="35"/>
  <c r="W238" i="35"/>
  <c r="P278" i="35"/>
  <c r="Y212" i="35"/>
  <c r="Y229" i="35"/>
  <c r="Y195" i="35"/>
  <c r="Y178" i="35"/>
  <c r="N164" i="35"/>
  <c r="N300" i="35" s="1"/>
  <c r="N147" i="35"/>
  <c r="N130" i="35"/>
  <c r="N113" i="35"/>
  <c r="S160" i="35"/>
  <c r="S126" i="35"/>
  <c r="S109" i="35"/>
  <c r="S143" i="35"/>
  <c r="I264" i="35"/>
  <c r="G196" i="35"/>
  <c r="I257" i="35"/>
  <c r="G189" i="35"/>
  <c r="O238" i="35"/>
  <c r="U274" i="35"/>
  <c r="W242" i="35"/>
  <c r="M101" i="35"/>
  <c r="M237" i="35" s="1"/>
  <c r="M135" i="35"/>
  <c r="M271" i="35" s="1"/>
  <c r="M152" i="35"/>
  <c r="M118" i="35"/>
  <c r="M254" i="35" s="1"/>
  <c r="J158" i="35"/>
  <c r="J107" i="35"/>
  <c r="J141" i="35"/>
  <c r="J124" i="35"/>
  <c r="Z158" i="35"/>
  <c r="Z124" i="35"/>
  <c r="Z141" i="35"/>
  <c r="Z107" i="35"/>
  <c r="U161" i="35"/>
  <c r="U127" i="35"/>
  <c r="U144" i="35"/>
  <c r="U110" i="35"/>
  <c r="AA144" i="35"/>
  <c r="AA161" i="35"/>
  <c r="AA127" i="35"/>
  <c r="AA110" i="35"/>
  <c r="T212" i="35"/>
  <c r="T229" i="35"/>
  <c r="T195" i="35"/>
  <c r="T178" i="35"/>
  <c r="AB195" i="35"/>
  <c r="AB212" i="35"/>
  <c r="AB229" i="35"/>
  <c r="AB178" i="35"/>
  <c r="W146" i="35"/>
  <c r="W163" i="35"/>
  <c r="W129" i="35"/>
  <c r="W112" i="35"/>
  <c r="N214" i="35"/>
  <c r="N231" i="35"/>
  <c r="N197" i="35"/>
  <c r="N180" i="35"/>
  <c r="V231" i="35"/>
  <c r="V197" i="35"/>
  <c r="V214" i="35"/>
  <c r="V180" i="35"/>
  <c r="K164" i="35"/>
  <c r="K113" i="35"/>
  <c r="K147" i="35"/>
  <c r="K130" i="35"/>
  <c r="O164" i="35"/>
  <c r="O147" i="35"/>
  <c r="O130" i="35"/>
  <c r="O266" i="35" s="1"/>
  <c r="O113" i="35"/>
  <c r="W154" i="35"/>
  <c r="W290" i="35" s="1"/>
  <c r="W120" i="35"/>
  <c r="W137" i="35"/>
  <c r="W103" i="35"/>
  <c r="AB154" i="35"/>
  <c r="AB290" i="35" s="1"/>
  <c r="AB120" i="35"/>
  <c r="AB103" i="35"/>
  <c r="AB137" i="35"/>
  <c r="V160" i="35"/>
  <c r="V143" i="35"/>
  <c r="V109" i="35"/>
  <c r="V126" i="35"/>
  <c r="AC278" i="35"/>
  <c r="O272" i="35"/>
  <c r="V259" i="35"/>
  <c r="I278" i="35"/>
  <c r="G210" i="35"/>
  <c r="W264" i="35"/>
  <c r="O240" i="35"/>
  <c r="X240" i="35"/>
  <c r="L242" i="35"/>
  <c r="W244" i="35"/>
  <c r="N274" i="35"/>
  <c r="I276" i="35"/>
  <c r="G208" i="35"/>
  <c r="S244" i="35"/>
  <c r="Z274" i="35"/>
  <c r="T247" i="35"/>
  <c r="V261" i="35"/>
  <c r="R240" i="35"/>
  <c r="S242" i="35"/>
  <c r="R259" i="35"/>
  <c r="AA264" i="35"/>
  <c r="U261" i="35"/>
  <c r="M247" i="35"/>
  <c r="K255" i="35"/>
  <c r="Y144" i="35"/>
  <c r="Y161" i="35"/>
  <c r="Y127" i="35"/>
  <c r="Y110" i="35"/>
  <c r="R160" i="35"/>
  <c r="R109" i="35"/>
  <c r="R126" i="35"/>
  <c r="R143" i="35"/>
  <c r="G138" i="35"/>
  <c r="R158" i="35"/>
  <c r="R294" i="35" s="1"/>
  <c r="R141" i="35"/>
  <c r="R124" i="35"/>
  <c r="R107" i="35"/>
  <c r="I214" i="35"/>
  <c r="I197" i="35"/>
  <c r="I180" i="35"/>
  <c r="V146" i="35"/>
  <c r="V163" i="35"/>
  <c r="V129" i="35"/>
  <c r="V112" i="35"/>
  <c r="V158" i="35"/>
  <c r="V141" i="35"/>
  <c r="V107" i="35"/>
  <c r="V124" i="35"/>
  <c r="N158" i="35"/>
  <c r="N294" i="35" s="1"/>
  <c r="N124" i="35"/>
  <c r="N107" i="35"/>
  <c r="N141" i="35"/>
  <c r="J161" i="35"/>
  <c r="J127" i="35"/>
  <c r="J110" i="35"/>
  <c r="J144" i="35"/>
  <c r="AB161" i="35"/>
  <c r="AB127" i="35"/>
  <c r="AB144" i="35"/>
  <c r="AB110" i="35"/>
  <c r="I212" i="35"/>
  <c r="I195" i="35"/>
  <c r="I178" i="35"/>
  <c r="L163" i="35"/>
  <c r="L129" i="35"/>
  <c r="L146" i="35"/>
  <c r="L112" i="35"/>
  <c r="P146" i="35"/>
  <c r="P163" i="35"/>
  <c r="P129" i="35"/>
  <c r="P112" i="35"/>
  <c r="K231" i="35"/>
  <c r="K197" i="35"/>
  <c r="K214" i="35"/>
  <c r="K180" i="35"/>
  <c r="K248" i="35" s="1"/>
  <c r="W164" i="35"/>
  <c r="W300" i="35" s="1"/>
  <c r="W113" i="35"/>
  <c r="W147" i="35"/>
  <c r="W130" i="35"/>
  <c r="W266" i="35" s="1"/>
  <c r="AA164" i="35"/>
  <c r="AA147" i="35"/>
  <c r="AA130" i="35"/>
  <c r="AA113" i="35"/>
  <c r="T154" i="35"/>
  <c r="T103" i="35"/>
  <c r="T137" i="35"/>
  <c r="T120" i="35"/>
  <c r="Q154" i="35"/>
  <c r="Q290" i="35" s="1"/>
  <c r="Q103" i="35"/>
  <c r="Q120" i="35"/>
  <c r="Q137" i="35"/>
  <c r="Z160" i="35"/>
  <c r="Z126" i="35"/>
  <c r="Z109" i="35"/>
  <c r="Z143" i="35"/>
  <c r="G139" i="35"/>
  <c r="G159" i="35"/>
  <c r="AC261" i="35"/>
  <c r="Y244" i="35"/>
  <c r="AB261" i="35"/>
  <c r="W261" i="35"/>
  <c r="N240" i="35"/>
  <c r="G174" i="35"/>
  <c r="Z240" i="35"/>
  <c r="T281" i="35"/>
  <c r="W274" i="35"/>
  <c r="T242" i="35"/>
  <c r="V244" i="35"/>
  <c r="R274" i="35"/>
  <c r="S259" i="35"/>
  <c r="U244" i="35"/>
  <c r="Y238" i="35"/>
  <c r="Q276" i="35"/>
  <c r="M264" i="35"/>
  <c r="K272" i="35"/>
  <c r="W231" i="35"/>
  <c r="W197" i="35"/>
  <c r="W214" i="35"/>
  <c r="W180" i="35"/>
  <c r="W248" i="35" s="1"/>
  <c r="K160" i="35"/>
  <c r="K109" i="35"/>
  <c r="K126" i="35"/>
  <c r="K143" i="35"/>
  <c r="K293" i="35"/>
  <c r="G293" i="35" s="1"/>
  <c r="G157" i="35"/>
  <c r="Z272" i="35"/>
  <c r="R244" i="35"/>
  <c r="L276" i="35"/>
  <c r="N257" i="35"/>
  <c r="I259" i="35"/>
  <c r="G191" i="35"/>
  <c r="S278" i="35"/>
  <c r="Z257" i="35"/>
  <c r="T264" i="35"/>
  <c r="T276" i="35"/>
  <c r="AA238" i="35"/>
  <c r="R257" i="35"/>
  <c r="R276" i="35"/>
  <c r="AC247" i="35"/>
  <c r="V257" i="35"/>
  <c r="G140" i="35"/>
  <c r="Y255" i="35"/>
  <c r="Q242" i="35"/>
  <c r="M281" i="35"/>
  <c r="AB231" i="35"/>
  <c r="AB197" i="35"/>
  <c r="AB214" i="35"/>
  <c r="AB180" i="35"/>
  <c r="Z154" i="35"/>
  <c r="Z120" i="35"/>
  <c r="Z103" i="35"/>
  <c r="Z137" i="35"/>
  <c r="S247" i="35"/>
  <c r="Y158" i="35"/>
  <c r="Y294" i="35" s="1"/>
  <c r="Y124" i="35"/>
  <c r="Y107" i="35"/>
  <c r="Y141" i="35"/>
  <c r="AA229" i="35"/>
  <c r="AA195" i="35"/>
  <c r="AA212" i="35"/>
  <c r="AA178" i="35"/>
  <c r="AA246" i="35" s="1"/>
  <c r="V161" i="35"/>
  <c r="V127" i="35"/>
  <c r="V144" i="35"/>
  <c r="V110" i="35"/>
  <c r="U212" i="35"/>
  <c r="U280" i="35" s="1"/>
  <c r="U195" i="35"/>
  <c r="U263" i="35" s="1"/>
  <c r="U229" i="35"/>
  <c r="U178" i="35"/>
  <c r="X163" i="35"/>
  <c r="X129" i="35"/>
  <c r="X146" i="35"/>
  <c r="X112" i="35"/>
  <c r="P164" i="35"/>
  <c r="P300" i="35" s="1"/>
  <c r="P113" i="35"/>
  <c r="P147" i="35"/>
  <c r="P130" i="35"/>
  <c r="S154" i="35"/>
  <c r="S290" i="35" s="1"/>
  <c r="S103" i="35"/>
  <c r="S137" i="35"/>
  <c r="S120" i="35"/>
  <c r="L154" i="35"/>
  <c r="L103" i="35"/>
  <c r="L137" i="35"/>
  <c r="L120" i="35"/>
  <c r="O160" i="35"/>
  <c r="O296" i="35" s="1"/>
  <c r="O126" i="35"/>
  <c r="O143" i="35"/>
  <c r="O109" i="35"/>
  <c r="K158" i="35"/>
  <c r="K294" i="35" s="1"/>
  <c r="K141" i="35"/>
  <c r="K107" i="35"/>
  <c r="K124" i="35"/>
  <c r="O158" i="35"/>
  <c r="O124" i="35"/>
  <c r="O141" i="35"/>
  <c r="O107" i="35"/>
  <c r="K144" i="35"/>
  <c r="K127" i="35"/>
  <c r="K110" i="35"/>
  <c r="K161" i="35"/>
  <c r="L212" i="35"/>
  <c r="L229" i="35"/>
  <c r="L195" i="35"/>
  <c r="L178" i="35"/>
  <c r="J212" i="35"/>
  <c r="J280" i="35" s="1"/>
  <c r="J195" i="35"/>
  <c r="J229" i="35"/>
  <c r="J178" i="35"/>
  <c r="T146" i="35"/>
  <c r="T163" i="35"/>
  <c r="T129" i="35"/>
  <c r="T112" i="35"/>
  <c r="M163" i="35"/>
  <c r="M129" i="35"/>
  <c r="M146" i="35"/>
  <c r="M112" i="35"/>
  <c r="R163" i="35"/>
  <c r="R129" i="35"/>
  <c r="R146" i="35"/>
  <c r="R112" i="35"/>
  <c r="M214" i="35"/>
  <c r="M231" i="35"/>
  <c r="M197" i="35"/>
  <c r="M180" i="35"/>
  <c r="X164" i="35"/>
  <c r="X300" i="35" s="1"/>
  <c r="X113" i="35"/>
  <c r="X130" i="35"/>
  <c r="X147" i="35"/>
  <c r="AB164" i="35"/>
  <c r="AB147" i="35"/>
  <c r="AB113" i="35"/>
  <c r="AB130" i="35"/>
  <c r="X154" i="35"/>
  <c r="X290" i="35" s="1"/>
  <c r="X137" i="35"/>
  <c r="X120" i="35"/>
  <c r="X103" i="35"/>
  <c r="R154" i="35"/>
  <c r="R290" i="35" s="1"/>
  <c r="R103" i="35"/>
  <c r="R137" i="35"/>
  <c r="R120" i="35"/>
  <c r="R256" i="35" s="1"/>
  <c r="W160" i="35"/>
  <c r="W109" i="35"/>
  <c r="W126" i="35"/>
  <c r="W143" i="35"/>
  <c r="AA160" i="35"/>
  <c r="AA296" i="35" s="1"/>
  <c r="AA126" i="35"/>
  <c r="AA109" i="35"/>
  <c r="AA143" i="35"/>
  <c r="P291" i="35"/>
  <c r="G291" i="35" s="1"/>
  <c r="G155" i="35"/>
  <c r="P295" i="35"/>
  <c r="T257" i="35"/>
  <c r="N238" i="35"/>
  <c r="X238" i="35"/>
  <c r="L259" i="35"/>
  <c r="AB244" i="35"/>
  <c r="S261" i="35"/>
  <c r="T259" i="35"/>
  <c r="V278" i="35"/>
  <c r="AA255" i="35"/>
  <c r="S276" i="35"/>
  <c r="R242" i="35"/>
  <c r="AC264" i="35"/>
  <c r="V274" i="35"/>
  <c r="G123" i="35"/>
  <c r="U278" i="35"/>
  <c r="Y272" i="35"/>
  <c r="K238" i="35"/>
  <c r="P158" i="35"/>
  <c r="P294" i="35" s="1"/>
  <c r="P124" i="35"/>
  <c r="P141" i="35"/>
  <c r="P107" i="35"/>
  <c r="Z231" i="35"/>
  <c r="Z214" i="35"/>
  <c r="Z197" i="35"/>
  <c r="Z180" i="35"/>
  <c r="U164" i="35"/>
  <c r="U130" i="35"/>
  <c r="U147" i="35"/>
  <c r="U113" i="35"/>
  <c r="J154" i="35"/>
  <c r="J103" i="35"/>
  <c r="J137" i="35"/>
  <c r="J120" i="35"/>
  <c r="M160" i="35"/>
  <c r="M296" i="35" s="1"/>
  <c r="M143" i="35"/>
  <c r="M126" i="35"/>
  <c r="M109" i="35"/>
  <c r="S158" i="35"/>
  <c r="S124" i="35"/>
  <c r="S107" i="35"/>
  <c r="S141" i="35"/>
  <c r="X212" i="35"/>
  <c r="X229" i="35"/>
  <c r="X195" i="35"/>
  <c r="X178" i="35"/>
  <c r="J146" i="35"/>
  <c r="J163" i="35"/>
  <c r="J129" i="35"/>
  <c r="J112" i="35"/>
  <c r="P261" i="35"/>
  <c r="Z229" i="35"/>
  <c r="Z195" i="35"/>
  <c r="Z212" i="35"/>
  <c r="Z178" i="35"/>
  <c r="U231" i="35"/>
  <c r="U197" i="35"/>
  <c r="U214" i="35"/>
  <c r="U180" i="35"/>
  <c r="X244" i="35"/>
  <c r="P161" i="35"/>
  <c r="P127" i="35"/>
  <c r="P110" i="35"/>
  <c r="P144" i="35"/>
  <c r="L197" i="35"/>
  <c r="L265" i="35" s="1"/>
  <c r="L214" i="35"/>
  <c r="L282" i="35" s="1"/>
  <c r="L231" i="35"/>
  <c r="L180" i="35"/>
  <c r="L164" i="35"/>
  <c r="L130" i="35"/>
  <c r="L113" i="35"/>
  <c r="L147" i="35"/>
  <c r="AC154" i="35"/>
  <c r="AC120" i="35"/>
  <c r="AC137" i="35"/>
  <c r="AC103" i="35"/>
  <c r="W158" i="35"/>
  <c r="W294" i="35" s="1"/>
  <c r="W141" i="35"/>
  <c r="W107" i="35"/>
  <c r="W124" i="35"/>
  <c r="AA158" i="35"/>
  <c r="AA124" i="35"/>
  <c r="AA141" i="35"/>
  <c r="AA107" i="35"/>
  <c r="W144" i="35"/>
  <c r="W127" i="35"/>
  <c r="W161" i="35"/>
  <c r="W110" i="35"/>
  <c r="Q161" i="35"/>
  <c r="Q127" i="35"/>
  <c r="Q144" i="35"/>
  <c r="Q110" i="35"/>
  <c r="V212" i="35"/>
  <c r="V280" i="35" s="1"/>
  <c r="V229" i="35"/>
  <c r="V195" i="35"/>
  <c r="V178" i="35"/>
  <c r="V246" i="35" s="1"/>
  <c r="S146" i="35"/>
  <c r="S129" i="35"/>
  <c r="S163" i="35"/>
  <c r="S112" i="35"/>
  <c r="Y163" i="35"/>
  <c r="Y129" i="35"/>
  <c r="Y146" i="35"/>
  <c r="Y112" i="35"/>
  <c r="R197" i="35"/>
  <c r="R231" i="35"/>
  <c r="R214" i="35"/>
  <c r="R180" i="35"/>
  <c r="Y214" i="35"/>
  <c r="Y197" i="35"/>
  <c r="Y231" i="35"/>
  <c r="Y180" i="35"/>
  <c r="P160" i="35"/>
  <c r="P296" i="35" s="1"/>
  <c r="P126" i="35"/>
  <c r="P143" i="35"/>
  <c r="P109" i="35"/>
  <c r="AB292" i="35"/>
  <c r="T274" i="35"/>
  <c r="N272" i="35"/>
  <c r="R278" i="35"/>
  <c r="X255" i="35"/>
  <c r="U247" i="35"/>
  <c r="Y274" i="35"/>
  <c r="L271" i="35"/>
  <c r="I255" i="35"/>
  <c r="G187" i="35"/>
  <c r="L247" i="35"/>
  <c r="K237" i="35"/>
  <c r="I254" i="35"/>
  <c r="G186" i="35"/>
  <c r="P247" i="35"/>
  <c r="J261" i="35"/>
  <c r="AC281" i="35"/>
  <c r="V240" i="35"/>
  <c r="AA276" i="35"/>
  <c r="R272" i="35"/>
  <c r="O247" i="35"/>
  <c r="L257" i="35"/>
  <c r="AB257" i="35"/>
  <c r="R212" i="35"/>
  <c r="R229" i="35"/>
  <c r="R195" i="35"/>
  <c r="R178" i="35"/>
  <c r="Z164" i="35"/>
  <c r="Z300" i="35" s="1"/>
  <c r="Z113" i="35"/>
  <c r="Z147" i="35"/>
  <c r="Z130" i="35"/>
  <c r="I281" i="35"/>
  <c r="G213" i="35"/>
  <c r="G136" i="35"/>
  <c r="Q163" i="35"/>
  <c r="Q129" i="35"/>
  <c r="Q146" i="35"/>
  <c r="Q112" i="35"/>
  <c r="AA154" i="35"/>
  <c r="AA290" i="35" s="1"/>
  <c r="AA120" i="35"/>
  <c r="AA103" i="35"/>
  <c r="AA137" i="35"/>
  <c r="AC161" i="35"/>
  <c r="AC127" i="35"/>
  <c r="AC144" i="35"/>
  <c r="AC110" i="35"/>
  <c r="X197" i="35"/>
  <c r="X265" i="35" s="1"/>
  <c r="X214" i="35"/>
  <c r="X231" i="35"/>
  <c r="X180" i="35"/>
  <c r="Z129" i="35"/>
  <c r="Z146" i="35"/>
  <c r="Z163" i="35"/>
  <c r="Z112" i="35"/>
  <c r="Q197" i="35"/>
  <c r="Q265" i="35" s="1"/>
  <c r="Q214" i="35"/>
  <c r="Q231" i="35"/>
  <c r="Q180" i="35"/>
  <c r="O231" i="35"/>
  <c r="O197" i="35"/>
  <c r="O214" i="35"/>
  <c r="O180" i="35"/>
  <c r="M164" i="35"/>
  <c r="M300" i="35" s="1"/>
  <c r="M130" i="35"/>
  <c r="M147" i="35"/>
  <c r="M113" i="35"/>
  <c r="Q164" i="35"/>
  <c r="Q113" i="35"/>
  <c r="Q130" i="35"/>
  <c r="Q147" i="35"/>
  <c r="M154" i="35"/>
  <c r="M290" i="35" s="1"/>
  <c r="M103" i="35"/>
  <c r="M137" i="35"/>
  <c r="M120" i="35"/>
  <c r="L160" i="35"/>
  <c r="L296" i="35" s="1"/>
  <c r="L143" i="35"/>
  <c r="L109" i="35"/>
  <c r="L126" i="35"/>
  <c r="Q160" i="35"/>
  <c r="Q143" i="35"/>
  <c r="Q126" i="35"/>
  <c r="Q109" i="35"/>
  <c r="V255" i="35"/>
  <c r="T240" i="35"/>
  <c r="N255" i="35"/>
  <c r="Z255" i="35"/>
  <c r="R261" i="35"/>
  <c r="L237" i="35"/>
  <c r="I272" i="35"/>
  <c r="G204" i="35"/>
  <c r="L281" i="35"/>
  <c r="M238" i="35"/>
  <c r="K271" i="35"/>
  <c r="G169" i="35"/>
  <c r="L238" i="35"/>
  <c r="N278" i="35"/>
  <c r="P281" i="35"/>
  <c r="J244" i="35"/>
  <c r="AA242" i="35"/>
  <c r="O281" i="35"/>
  <c r="G128" i="35"/>
  <c r="L274" i="35"/>
  <c r="AB274" i="35"/>
  <c r="T158" i="35"/>
  <c r="T124" i="35"/>
  <c r="T107" i="35"/>
  <c r="T141" i="35"/>
  <c r="AA146" i="35"/>
  <c r="AA163" i="35"/>
  <c r="AA129" i="35"/>
  <c r="AA112" i="35"/>
  <c r="O229" i="35"/>
  <c r="O195" i="35"/>
  <c r="O212" i="35"/>
  <c r="O178" i="35"/>
  <c r="O246" i="35" s="1"/>
  <c r="K219" i="35"/>
  <c r="K168" i="35"/>
  <c r="K236" i="35" s="1"/>
  <c r="K202" i="35"/>
  <c r="K270" i="35" s="1"/>
  <c r="K185" i="35"/>
  <c r="K253" i="35" s="1"/>
  <c r="O154" i="35"/>
  <c r="O103" i="35"/>
  <c r="O120" i="35"/>
  <c r="O137" i="35"/>
  <c r="R219" i="35"/>
  <c r="R202" i="35"/>
  <c r="R185" i="35"/>
  <c r="R168" i="35"/>
  <c r="AC212" i="35"/>
  <c r="AC195" i="35"/>
  <c r="AC263" i="35" s="1"/>
  <c r="AC229" i="35"/>
  <c r="AC297" i="35" s="1"/>
  <c r="AC178" i="35"/>
  <c r="J237" i="35"/>
  <c r="G176" i="35"/>
  <c r="K212" i="35"/>
  <c r="K229" i="35"/>
  <c r="K195" i="35"/>
  <c r="K178" i="35"/>
  <c r="K246" i="35" s="1"/>
  <c r="L124" i="35"/>
  <c r="L158" i="35"/>
  <c r="L141" i="35"/>
  <c r="L107" i="35"/>
  <c r="Q158" i="35"/>
  <c r="Q294" i="35" s="1"/>
  <c r="Q124" i="35"/>
  <c r="Q141" i="35"/>
  <c r="Q107" i="35"/>
  <c r="X144" i="35"/>
  <c r="X161" i="35"/>
  <c r="X297" i="35" s="1"/>
  <c r="X127" i="35"/>
  <c r="X110" i="35"/>
  <c r="N229" i="35"/>
  <c r="N195" i="35"/>
  <c r="N212" i="35"/>
  <c r="N178" i="35"/>
  <c r="I163" i="35"/>
  <c r="I146" i="35"/>
  <c r="I129" i="35"/>
  <c r="I112" i="35"/>
  <c r="N129" i="35"/>
  <c r="N146" i="35"/>
  <c r="N163" i="35"/>
  <c r="N112" i="35"/>
  <c r="AC197" i="35"/>
  <c r="AC214" i="35"/>
  <c r="AC231" i="35"/>
  <c r="AC180" i="35"/>
  <c r="AC248" i="35" s="1"/>
  <c r="Y164" i="35"/>
  <c r="Y300" i="35" s="1"/>
  <c r="Y113" i="35"/>
  <c r="Y147" i="35"/>
  <c r="Y130" i="35"/>
  <c r="R164" i="35"/>
  <c r="R130" i="35"/>
  <c r="R147" i="35"/>
  <c r="R113" i="35"/>
  <c r="U154" i="35"/>
  <c r="U290" i="35" s="1"/>
  <c r="U103" i="35"/>
  <c r="U120" i="35"/>
  <c r="U137" i="35"/>
  <c r="Y154" i="35"/>
  <c r="Y290" i="35" s="1"/>
  <c r="Y103" i="35"/>
  <c r="Y120" i="35"/>
  <c r="Y137" i="35"/>
  <c r="X160" i="35"/>
  <c r="X109" i="35"/>
  <c r="X126" i="35"/>
  <c r="X143" i="35"/>
  <c r="AC160" i="35"/>
  <c r="AC296" i="35" s="1"/>
  <c r="AC143" i="35"/>
  <c r="AC109" i="35"/>
  <c r="AC126" i="35"/>
  <c r="G162" i="35"/>
  <c r="V272" i="35"/>
  <c r="V247" i="35"/>
  <c r="M261" i="35"/>
  <c r="Y257" i="35"/>
  <c r="G170" i="35"/>
  <c r="L264" i="35"/>
  <c r="M255" i="35"/>
  <c r="I271" i="35"/>
  <c r="G203" i="35"/>
  <c r="L255" i="35"/>
  <c r="N244" i="35"/>
  <c r="AB238" i="35"/>
  <c r="P264" i="35"/>
  <c r="X247" i="35"/>
  <c r="AC259" i="35"/>
  <c r="R238" i="35"/>
  <c r="O264" i="35"/>
  <c r="G145" i="35"/>
  <c r="L240" i="35"/>
  <c r="AB240" i="35"/>
  <c r="S144" i="35"/>
  <c r="S161" i="35"/>
  <c r="S127" i="35"/>
  <c r="S110" i="35"/>
  <c r="T231" i="35"/>
  <c r="T197" i="35"/>
  <c r="T265" i="35" s="1"/>
  <c r="T214" i="35"/>
  <c r="T180" i="35"/>
  <c r="T248" i="35" s="1"/>
  <c r="S164" i="35"/>
  <c r="S300" i="35" s="1"/>
  <c r="S147" i="35"/>
  <c r="S130" i="35"/>
  <c r="S113" i="35"/>
  <c r="M158" i="35"/>
  <c r="M124" i="35"/>
  <c r="M107" i="35"/>
  <c r="M141" i="35"/>
  <c r="N144" i="35"/>
  <c r="N161" i="35"/>
  <c r="N127" i="35"/>
  <c r="N110" i="35"/>
  <c r="AB146" i="35"/>
  <c r="AB163" i="35"/>
  <c r="AB129" i="35"/>
  <c r="AB112" i="35"/>
  <c r="T164" i="35"/>
  <c r="T130" i="35"/>
  <c r="T113" i="35"/>
  <c r="T147" i="35"/>
  <c r="V154" i="35"/>
  <c r="V103" i="35"/>
  <c r="V137" i="35"/>
  <c r="V120" i="35"/>
  <c r="Y160" i="35"/>
  <c r="Y296" i="35" s="1"/>
  <c r="Y109" i="35"/>
  <c r="Y126" i="35"/>
  <c r="Y143" i="35"/>
  <c r="I274" i="35"/>
  <c r="G206" i="35"/>
  <c r="Z144" i="35"/>
  <c r="Z161" i="35"/>
  <c r="Z297" i="35" s="1"/>
  <c r="Z127" i="35"/>
  <c r="Z110" i="35"/>
  <c r="U160" i="35"/>
  <c r="U143" i="35"/>
  <c r="U126" i="35"/>
  <c r="U109" i="35"/>
  <c r="AB158" i="35"/>
  <c r="AB124" i="35"/>
  <c r="AB141" i="35"/>
  <c r="AB107" i="35"/>
  <c r="L144" i="35"/>
  <c r="L161" i="35"/>
  <c r="L127" i="35"/>
  <c r="L110" i="35"/>
  <c r="W212" i="35"/>
  <c r="W280" i="35" s="1"/>
  <c r="W229" i="35"/>
  <c r="W195" i="35"/>
  <c r="W178" i="35"/>
  <c r="W246" i="35" s="1"/>
  <c r="AA231" i="35"/>
  <c r="AA197" i="35"/>
  <c r="AA214" i="35"/>
  <c r="AA282" i="35" s="1"/>
  <c r="AA180" i="35"/>
  <c r="X158" i="35"/>
  <c r="X294" i="35" s="1"/>
  <c r="X141" i="35"/>
  <c r="X107" i="35"/>
  <c r="X124" i="35"/>
  <c r="AC158" i="35"/>
  <c r="AC107" i="35"/>
  <c r="AC141" i="35"/>
  <c r="AC124" i="35"/>
  <c r="T144" i="35"/>
  <c r="T161" i="35"/>
  <c r="T127" i="35"/>
  <c r="T110" i="35"/>
  <c r="M144" i="35"/>
  <c r="M161" i="35"/>
  <c r="M127" i="35"/>
  <c r="M110" i="35"/>
  <c r="R127" i="35"/>
  <c r="R144" i="35"/>
  <c r="R110" i="35"/>
  <c r="R161" i="35"/>
  <c r="R297" i="35" s="1"/>
  <c r="M212" i="35"/>
  <c r="M229" i="35"/>
  <c r="M195" i="35"/>
  <c r="M178" i="35"/>
  <c r="U146" i="35"/>
  <c r="U163" i="35"/>
  <c r="U129" i="35"/>
  <c r="U112" i="35"/>
  <c r="O146" i="35"/>
  <c r="O163" i="35"/>
  <c r="O129" i="35"/>
  <c r="O265" i="35" s="1"/>
  <c r="O112" i="35"/>
  <c r="S231" i="35"/>
  <c r="S197" i="35"/>
  <c r="S265" i="35" s="1"/>
  <c r="S214" i="35"/>
  <c r="S282" i="35" s="1"/>
  <c r="S180" i="35"/>
  <c r="S248" i="35" s="1"/>
  <c r="P231" i="35"/>
  <c r="P197" i="35"/>
  <c r="P214" i="35"/>
  <c r="P282" i="35" s="1"/>
  <c r="P180" i="35"/>
  <c r="AC164" i="35"/>
  <c r="AC113" i="35"/>
  <c r="AC130" i="35"/>
  <c r="AC147" i="35"/>
  <c r="N103" i="35"/>
  <c r="N154" i="35"/>
  <c r="N290" i="35" s="1"/>
  <c r="N120" i="35"/>
  <c r="N137" i="35"/>
  <c r="L151" i="35"/>
  <c r="L100" i="35"/>
  <c r="L134" i="35"/>
  <c r="L117" i="35"/>
  <c r="T126" i="35"/>
  <c r="T160" i="35"/>
  <c r="T143" i="35"/>
  <c r="T109" i="35"/>
  <c r="AB160" i="35"/>
  <c r="AB296" i="35" s="1"/>
  <c r="AB109" i="35"/>
  <c r="AB126" i="35"/>
  <c r="AB143" i="35"/>
  <c r="G125" i="35"/>
  <c r="V281" i="35"/>
  <c r="AA257" i="35"/>
  <c r="G121" i="35"/>
  <c r="M244" i="35"/>
  <c r="L254" i="35"/>
  <c r="L244" i="35"/>
  <c r="M272" i="35"/>
  <c r="K254" i="35"/>
  <c r="L272" i="35"/>
  <c r="N261" i="35"/>
  <c r="J278" i="35"/>
  <c r="X281" i="35"/>
  <c r="R255" i="35"/>
  <c r="J257" i="35"/>
  <c r="X242" i="35"/>
  <c r="I295" i="35"/>
  <c r="W275" i="35"/>
  <c r="J258" i="35"/>
  <c r="I247" i="35"/>
  <c r="G111" i="35"/>
  <c r="I240" i="35"/>
  <c r="G104" i="35"/>
  <c r="I248" i="35"/>
  <c r="K287" i="35"/>
  <c r="I244" i="35"/>
  <c r="G108" i="35"/>
  <c r="I298" i="35"/>
  <c r="I238" i="35"/>
  <c r="G102" i="35"/>
  <c r="Y258" i="35"/>
  <c r="I242" i="35"/>
  <c r="G106" i="35"/>
  <c r="X275" i="35"/>
  <c r="AA294" i="35"/>
  <c r="V275" i="35"/>
  <c r="J275" i="35"/>
  <c r="N241" i="35"/>
  <c r="AA300" i="35"/>
  <c r="L290" i="35"/>
  <c r="I258" i="35"/>
  <c r="W296" i="35"/>
  <c r="I241" i="35"/>
  <c r="L294" i="35"/>
  <c r="W241" i="35"/>
  <c r="X258" i="35"/>
  <c r="K241" i="35"/>
  <c r="N258" i="35"/>
  <c r="U296" i="35"/>
  <c r="Y241" i="35"/>
  <c r="R275" i="35"/>
  <c r="U294" i="35"/>
  <c r="AC290" i="35"/>
  <c r="N296" i="35"/>
  <c r="V294" i="35"/>
  <c r="U300" i="35"/>
  <c r="M241" i="35"/>
  <c r="AC294" i="35"/>
  <c r="M275" i="35"/>
  <c r="Z258" i="35"/>
  <c r="I275" i="35"/>
  <c r="Z294" i="35"/>
  <c r="AC275" i="35"/>
  <c r="AB258" i="35"/>
  <c r="P258" i="35"/>
  <c r="O258" i="35"/>
  <c r="J294" i="35"/>
  <c r="AC258" i="35"/>
  <c r="V296" i="35"/>
  <c r="AB241" i="35"/>
  <c r="P241" i="35"/>
  <c r="O241" i="35"/>
  <c r="X241" i="35"/>
  <c r="V241" i="35"/>
  <c r="AB300" i="35"/>
  <c r="T296" i="35"/>
  <c r="M294" i="35"/>
  <c r="W258" i="35"/>
  <c r="Q300" i="35"/>
  <c r="J241" i="35"/>
  <c r="S296" i="35"/>
  <c r="R241" i="35"/>
  <c r="I294" i="35"/>
  <c r="G226" i="35"/>
  <c r="L300" i="35"/>
  <c r="AB275" i="35"/>
  <c r="P275" i="35"/>
  <c r="G292" i="35"/>
  <c r="M288" i="35"/>
  <c r="AC241" i="35"/>
  <c r="G228" i="35"/>
  <c r="K296" i="35"/>
  <c r="T275" i="35"/>
  <c r="S275" i="35"/>
  <c r="O275" i="35"/>
  <c r="AA275" i="35"/>
  <c r="R300" i="35"/>
  <c r="T241" i="35"/>
  <c r="S258" i="35"/>
  <c r="Q275" i="35"/>
  <c r="AA258" i="35"/>
  <c r="T300" i="35"/>
  <c r="V290" i="35"/>
  <c r="R296" i="35"/>
  <c r="T258" i="35"/>
  <c r="S241" i="35"/>
  <c r="Q258" i="35"/>
  <c r="AA241" i="35"/>
  <c r="G222" i="35"/>
  <c r="K290" i="35"/>
  <c r="U275" i="35"/>
  <c r="L241" i="35"/>
  <c r="Q241" i="35"/>
  <c r="M258" i="35"/>
  <c r="O300" i="35"/>
  <c r="AC300" i="35"/>
  <c r="U258" i="35"/>
  <c r="Q296" i="35"/>
  <c r="L275" i="35"/>
  <c r="Z241" i="35"/>
  <c r="O294" i="35"/>
  <c r="J300" i="35"/>
  <c r="T290" i="35"/>
  <c r="U241" i="35"/>
  <c r="X296" i="35"/>
  <c r="L258" i="35"/>
  <c r="Z275" i="35"/>
  <c r="J53" i="35"/>
  <c r="J25" i="28" s="1"/>
  <c r="K258" i="35"/>
  <c r="S294" i="35"/>
  <c r="K275" i="35"/>
  <c r="K300" i="35"/>
  <c r="O290" i="35"/>
  <c r="Z296" i="35"/>
  <c r="R258" i="35"/>
  <c r="T294" i="35"/>
  <c r="AB294" i="35"/>
  <c r="K53" i="35"/>
  <c r="Z290" i="35"/>
  <c r="I290" i="35"/>
  <c r="I296" i="35"/>
  <c r="P73" i="35"/>
  <c r="P297" i="35"/>
  <c r="AB297" i="35"/>
  <c r="I229" i="35"/>
  <c r="J73" i="35"/>
  <c r="J46" i="28" s="1"/>
  <c r="W297" i="35"/>
  <c r="W299" i="35"/>
  <c r="X299" i="35"/>
  <c r="Q73" i="35"/>
  <c r="Q46" i="28" s="1"/>
  <c r="AA299" i="35"/>
  <c r="I231" i="35"/>
  <c r="G232" i="35"/>
  <c r="P209" i="35"/>
  <c r="P175" i="35"/>
  <c r="I198" i="35"/>
  <c r="I181" i="35"/>
  <c r="I215" i="35"/>
  <c r="T209" i="35"/>
  <c r="T175" i="35"/>
  <c r="AB209" i="35"/>
  <c r="AB175" i="35"/>
  <c r="G48" i="35"/>
  <c r="U181" i="35"/>
  <c r="U215" i="35"/>
  <c r="AC181" i="35"/>
  <c r="AC215" i="35"/>
  <c r="W54" i="35"/>
  <c r="AB54" i="35"/>
  <c r="W171" i="35"/>
  <c r="W205" i="35"/>
  <c r="W74" i="35"/>
  <c r="W22" i="26" s="1"/>
  <c r="S211" i="35"/>
  <c r="S177" i="35"/>
  <c r="P177" i="35"/>
  <c r="P211" i="35"/>
  <c r="P54" i="35"/>
  <c r="Z175" i="35"/>
  <c r="Z209" i="35"/>
  <c r="G65" i="35"/>
  <c r="I192" i="35"/>
  <c r="I209" i="35"/>
  <c r="I175" i="35"/>
  <c r="J215" i="35"/>
  <c r="J181" i="35"/>
  <c r="T54" i="35"/>
  <c r="X205" i="35"/>
  <c r="X171" i="35"/>
  <c r="X74" i="35"/>
  <c r="X22" i="26" s="1"/>
  <c r="Q54" i="35"/>
  <c r="M171" i="35"/>
  <c r="M205" i="35"/>
  <c r="M74" i="35"/>
  <c r="M22" i="26" s="1"/>
  <c r="Z211" i="35"/>
  <c r="Z177" i="35"/>
  <c r="T211" i="35"/>
  <c r="T177" i="35"/>
  <c r="AB177" i="35"/>
  <c r="AB211" i="35"/>
  <c r="G122" i="35"/>
  <c r="Y215" i="35"/>
  <c r="Y181" i="35"/>
  <c r="L175" i="35"/>
  <c r="L209" i="35"/>
  <c r="U209" i="35"/>
  <c r="U175" i="35"/>
  <c r="G68" i="35"/>
  <c r="V181" i="35"/>
  <c r="V215" i="35"/>
  <c r="S54" i="35"/>
  <c r="L54" i="35"/>
  <c r="AC54" i="35"/>
  <c r="Y171" i="35"/>
  <c r="Y205" i="35"/>
  <c r="Y74" i="35"/>
  <c r="Y22" i="26" s="1"/>
  <c r="I73" i="35"/>
  <c r="L211" i="35"/>
  <c r="L177" i="35"/>
  <c r="G67" i="35"/>
  <c r="I177" i="35"/>
  <c r="I211" i="35"/>
  <c r="I194" i="35"/>
  <c r="G207" i="35"/>
  <c r="G105" i="35"/>
  <c r="K205" i="35"/>
  <c r="K171" i="35"/>
  <c r="K74" i="35"/>
  <c r="K22" i="26" s="1"/>
  <c r="K215" i="35"/>
  <c r="K181" i="35"/>
  <c r="K266" i="35"/>
  <c r="L171" i="35"/>
  <c r="L205" i="35"/>
  <c r="L74" i="35"/>
  <c r="L22" i="26" s="1"/>
  <c r="X54" i="35"/>
  <c r="R54" i="35"/>
  <c r="R5" i="26" s="1"/>
  <c r="O205" i="35"/>
  <c r="O171" i="35"/>
  <c r="O74" i="35"/>
  <c r="O22" i="26" s="1"/>
  <c r="U211" i="35"/>
  <c r="U177" i="35"/>
  <c r="G190" i="35"/>
  <c r="R73" i="35"/>
  <c r="R46" i="28" s="1"/>
  <c r="J209" i="35"/>
  <c r="J175" i="35"/>
  <c r="N175" i="35"/>
  <c r="N209" i="35"/>
  <c r="M181" i="35"/>
  <c r="M215" i="35"/>
  <c r="AA215" i="35"/>
  <c r="AA181" i="35"/>
  <c r="W215" i="35"/>
  <c r="W181" i="35"/>
  <c r="N171" i="35"/>
  <c r="N205" i="35"/>
  <c r="N74" i="35"/>
  <c r="N22" i="26" s="1"/>
  <c r="Z205" i="35"/>
  <c r="Z171" i="35"/>
  <c r="Z74" i="35"/>
  <c r="Z22" i="26" s="1"/>
  <c r="G61" i="35"/>
  <c r="I205" i="35"/>
  <c r="I171" i="35"/>
  <c r="I188" i="35"/>
  <c r="I74" i="35"/>
  <c r="I22" i="26" s="1"/>
  <c r="AA205" i="35"/>
  <c r="AA171" i="35"/>
  <c r="AA74" i="35"/>
  <c r="AA22" i="26" s="1"/>
  <c r="J211" i="35"/>
  <c r="J177" i="35"/>
  <c r="G173" i="35"/>
  <c r="I53" i="35"/>
  <c r="I25" i="28" s="1"/>
  <c r="K175" i="35"/>
  <c r="K209" i="35"/>
  <c r="L181" i="35"/>
  <c r="L215" i="35"/>
  <c r="I103" i="35"/>
  <c r="G41" i="35"/>
  <c r="I54" i="35"/>
  <c r="I120" i="35"/>
  <c r="I137" i="35"/>
  <c r="M54" i="35"/>
  <c r="Q171" i="35"/>
  <c r="Q205" i="35"/>
  <c r="Q74" i="35"/>
  <c r="Q22" i="26" s="1"/>
  <c r="P205" i="35"/>
  <c r="P171" i="35"/>
  <c r="P74" i="35"/>
  <c r="P22" i="26" s="1"/>
  <c r="N211" i="35"/>
  <c r="N177" i="35"/>
  <c r="V211" i="35"/>
  <c r="V177" i="35"/>
  <c r="X211" i="35"/>
  <c r="X177" i="35"/>
  <c r="N39" i="35"/>
  <c r="W209" i="35"/>
  <c r="W175" i="35"/>
  <c r="G50" i="35"/>
  <c r="X181" i="35"/>
  <c r="X266" i="35"/>
  <c r="X215" i="35"/>
  <c r="U54" i="35"/>
  <c r="Y54" i="35"/>
  <c r="AC171" i="35"/>
  <c r="AC239" i="35" s="1"/>
  <c r="AC205" i="35"/>
  <c r="AC74" i="35"/>
  <c r="AC22" i="26" s="1"/>
  <c r="AB171" i="35"/>
  <c r="AB205" i="35"/>
  <c r="AB74" i="35"/>
  <c r="AB22" i="26" s="1"/>
  <c r="K177" i="35"/>
  <c r="K211" i="35"/>
  <c r="AA177" i="35"/>
  <c r="AA211" i="35"/>
  <c r="M175" i="35"/>
  <c r="M209" i="35"/>
  <c r="G51" i="35"/>
  <c r="I147" i="35"/>
  <c r="O215" i="35"/>
  <c r="O181" i="35"/>
  <c r="N215" i="35"/>
  <c r="N181" i="35"/>
  <c r="R205" i="35"/>
  <c r="R171" i="35"/>
  <c r="R74" i="35"/>
  <c r="R22" i="26" s="1"/>
  <c r="N54" i="35"/>
  <c r="N5" i="26" s="1"/>
  <c r="T205" i="35"/>
  <c r="T171" i="35"/>
  <c r="T74" i="35"/>
  <c r="T22" i="26" s="1"/>
  <c r="L53" i="35"/>
  <c r="L25" i="28" s="1"/>
  <c r="W177" i="35"/>
  <c r="W211" i="35"/>
  <c r="S209" i="35"/>
  <c r="S175" i="35"/>
  <c r="Q215" i="35"/>
  <c r="Q181" i="35"/>
  <c r="Y175" i="35"/>
  <c r="Y209" i="35"/>
  <c r="Z215" i="35"/>
  <c r="Z181" i="35"/>
  <c r="J54" i="35"/>
  <c r="Z54" i="35"/>
  <c r="Z5" i="26" s="1"/>
  <c r="U205" i="35"/>
  <c r="U171" i="35"/>
  <c r="U239" i="35" s="1"/>
  <c r="U74" i="35"/>
  <c r="U22" i="26" s="1"/>
  <c r="R177" i="35"/>
  <c r="R211" i="35"/>
  <c r="M211" i="35"/>
  <c r="M177" i="35"/>
  <c r="K54" i="35"/>
  <c r="AC177" i="35"/>
  <c r="AC211" i="35"/>
  <c r="V209" i="35"/>
  <c r="V175" i="35"/>
  <c r="M38" i="35"/>
  <c r="G45" i="35"/>
  <c r="I141" i="35"/>
  <c r="I107" i="35"/>
  <c r="I124" i="35"/>
  <c r="Q260" i="35"/>
  <c r="Q209" i="35"/>
  <c r="Q277" i="35" s="1"/>
  <c r="Q175" i="35"/>
  <c r="O175" i="35"/>
  <c r="O209" i="35"/>
  <c r="G70" i="35"/>
  <c r="R215" i="35"/>
  <c r="R181" i="35"/>
  <c r="P181" i="35"/>
  <c r="P215" i="35"/>
  <c r="V54" i="35"/>
  <c r="O54" i="35"/>
  <c r="J171" i="35"/>
  <c r="J205" i="35"/>
  <c r="J74" i="35"/>
  <c r="J22" i="26" s="1"/>
  <c r="Y177" i="35"/>
  <c r="Y211" i="35"/>
  <c r="S58" i="35"/>
  <c r="L58" i="35"/>
  <c r="R175" i="35"/>
  <c r="R209" i="35"/>
  <c r="R260" i="35"/>
  <c r="X175" i="35"/>
  <c r="X209" i="35"/>
  <c r="AC209" i="35"/>
  <c r="AC175" i="35"/>
  <c r="AA175" i="35"/>
  <c r="AA209" i="35"/>
  <c r="K73" i="35"/>
  <c r="K46" i="28" s="1"/>
  <c r="S215" i="35"/>
  <c r="S181" i="35"/>
  <c r="T215" i="35"/>
  <c r="T181" i="35"/>
  <c r="AB181" i="35"/>
  <c r="AB215" i="35"/>
  <c r="S205" i="35"/>
  <c r="S171" i="35"/>
  <c r="S74" i="35"/>
  <c r="S22" i="26" s="1"/>
  <c r="AA54" i="35"/>
  <c r="V171" i="35"/>
  <c r="V205" i="35"/>
  <c r="V74" i="35"/>
  <c r="V22" i="26" s="1"/>
  <c r="G47" i="35"/>
  <c r="I109" i="35"/>
  <c r="I143" i="35"/>
  <c r="I126" i="35"/>
  <c r="Q177" i="35"/>
  <c r="Q211" i="35"/>
  <c r="O177" i="35"/>
  <c r="O211" i="35"/>
  <c r="M66" i="29"/>
  <c r="M21" i="35" s="1"/>
  <c r="L72" i="29"/>
  <c r="L45" i="28" s="1"/>
  <c r="L43" i="28"/>
  <c r="O58" i="29"/>
  <c r="O6" i="35" s="1"/>
  <c r="J21" i="26"/>
  <c r="Q21" i="26"/>
  <c r="M63" i="29"/>
  <c r="M24" i="28" s="1"/>
  <c r="I16" i="28"/>
  <c r="F16" i="28" s="1"/>
  <c r="F15" i="28"/>
  <c r="T66" i="29"/>
  <c r="T21" i="35" s="1"/>
  <c r="S72" i="29"/>
  <c r="S45" i="28" s="1"/>
  <c r="S43" i="28"/>
  <c r="N57" i="29"/>
  <c r="N5" i="35" s="1"/>
  <c r="M22" i="28"/>
  <c r="F128" i="29"/>
  <c r="F129" i="29" s="1"/>
  <c r="F130" i="29" s="1"/>
  <c r="I246" i="35" l="1"/>
  <c r="G295" i="35"/>
  <c r="Y248" i="35"/>
  <c r="M246" i="35"/>
  <c r="U246" i="35"/>
  <c r="W239" i="35"/>
  <c r="R282" i="35"/>
  <c r="O277" i="35"/>
  <c r="X282" i="35"/>
  <c r="L299" i="35"/>
  <c r="M299" i="35"/>
  <c r="Y16" i="36"/>
  <c r="W17" i="36"/>
  <c r="Z16" i="36"/>
  <c r="X17" i="36"/>
  <c r="Y299" i="35"/>
  <c r="G289" i="35"/>
  <c r="L24" i="34"/>
  <c r="L28" i="34" s="1"/>
  <c r="P248" i="35"/>
  <c r="V277" i="35"/>
  <c r="AC246" i="35"/>
  <c r="V245" i="35"/>
  <c r="P265" i="35"/>
  <c r="L165" i="35"/>
  <c r="L9" i="26" s="1"/>
  <c r="L16" i="26" s="1"/>
  <c r="Q297" i="35"/>
  <c r="AA243" i="35"/>
  <c r="AA248" i="35"/>
  <c r="S297" i="35"/>
  <c r="Q282" i="35"/>
  <c r="AC282" i="35"/>
  <c r="L35" i="34"/>
  <c r="L38" i="34" s="1"/>
  <c r="L36" i="34"/>
  <c r="T297" i="35"/>
  <c r="AC265" i="35"/>
  <c r="N297" i="35"/>
  <c r="AB299" i="35"/>
  <c r="U297" i="35"/>
  <c r="G164" i="35"/>
  <c r="L37" i="34"/>
  <c r="Z265" i="35"/>
  <c r="G141" i="35"/>
  <c r="K245" i="35"/>
  <c r="W263" i="35"/>
  <c r="K27" i="34"/>
  <c r="K25" i="34"/>
  <c r="K29" i="34"/>
  <c r="K28" i="34"/>
  <c r="K26" i="34"/>
  <c r="Q30" i="34"/>
  <c r="I297" i="35"/>
  <c r="J38" i="34"/>
  <c r="R26" i="34"/>
  <c r="R28" i="34"/>
  <c r="R25" i="34"/>
  <c r="R29" i="34"/>
  <c r="R27" i="34"/>
  <c r="R243" i="35"/>
  <c r="G298" i="35"/>
  <c r="M265" i="35"/>
  <c r="P10" i="30"/>
  <c r="P58" i="26"/>
  <c r="T299" i="35"/>
  <c r="G112" i="35"/>
  <c r="G110" i="35"/>
  <c r="K4" i="26"/>
  <c r="K25" i="28"/>
  <c r="Z246" i="35"/>
  <c r="X280" i="35"/>
  <c r="G154" i="35"/>
  <c r="M282" i="35"/>
  <c r="V297" i="35"/>
  <c r="V299" i="35"/>
  <c r="AA297" i="35"/>
  <c r="Y280" i="35"/>
  <c r="K165" i="35"/>
  <c r="K9" i="26" s="1"/>
  <c r="K16" i="26" s="1"/>
  <c r="O297" i="35"/>
  <c r="L27" i="34"/>
  <c r="L29" i="34"/>
  <c r="T239" i="35"/>
  <c r="P21" i="26"/>
  <c r="P46" i="28"/>
  <c r="M297" i="35"/>
  <c r="Q248" i="35"/>
  <c r="G158" i="35"/>
  <c r="G160" i="35"/>
  <c r="J30" i="34"/>
  <c r="M32" i="34"/>
  <c r="N246" i="35"/>
  <c r="Q299" i="35"/>
  <c r="Z263" i="35"/>
  <c r="V248" i="35"/>
  <c r="K55" i="26"/>
  <c r="K19" i="30"/>
  <c r="N280" i="35"/>
  <c r="S24" i="34"/>
  <c r="M263" i="35"/>
  <c r="AB280" i="35"/>
  <c r="I58" i="26"/>
  <c r="I10" i="30"/>
  <c r="I19" i="30"/>
  <c r="I55" i="26"/>
  <c r="G242" i="35"/>
  <c r="G240" i="35"/>
  <c r="N26" i="28"/>
  <c r="L219" i="35"/>
  <c r="L287" i="35" s="1"/>
  <c r="L185" i="35"/>
  <c r="L253" i="35" s="1"/>
  <c r="L168" i="35"/>
  <c r="L236" i="35" s="1"/>
  <c r="L202" i="35"/>
  <c r="L270" i="35" s="1"/>
  <c r="N288" i="35"/>
  <c r="N101" i="35"/>
  <c r="N237" i="35" s="1"/>
  <c r="N135" i="35"/>
  <c r="N271" i="35" s="1"/>
  <c r="N152" i="35"/>
  <c r="N118" i="35"/>
  <c r="I299" i="35"/>
  <c r="G274" i="35"/>
  <c r="N263" i="35"/>
  <c r="AC280" i="35"/>
  <c r="G281" i="35"/>
  <c r="AA280" i="35"/>
  <c r="AB248" i="35"/>
  <c r="G180" i="35"/>
  <c r="G278" i="35"/>
  <c r="AB246" i="35"/>
  <c r="G261" i="35"/>
  <c r="J248" i="35"/>
  <c r="P246" i="35"/>
  <c r="J246" i="35"/>
  <c r="J245" i="35"/>
  <c r="J296" i="35"/>
  <c r="G296" i="35" s="1"/>
  <c r="J290" i="35"/>
  <c r="J263" i="35"/>
  <c r="AA263" i="35"/>
  <c r="AB282" i="35"/>
  <c r="G178" i="35"/>
  <c r="I265" i="35"/>
  <c r="G197" i="35"/>
  <c r="V282" i="35"/>
  <c r="J282" i="35"/>
  <c r="G127" i="35"/>
  <c r="S219" i="35"/>
  <c r="S185" i="35"/>
  <c r="S199" i="35" s="1"/>
  <c r="S24" i="26" s="1"/>
  <c r="S29" i="26" s="1"/>
  <c r="S168" i="35"/>
  <c r="S202" i="35"/>
  <c r="G147" i="35"/>
  <c r="G137" i="35"/>
  <c r="J279" i="35"/>
  <c r="M280" i="35"/>
  <c r="O280" i="35"/>
  <c r="Y265" i="35"/>
  <c r="Z248" i="35"/>
  <c r="AB265" i="35"/>
  <c r="K282" i="35"/>
  <c r="I263" i="35"/>
  <c r="G195" i="35"/>
  <c r="I282" i="35"/>
  <c r="G214" i="35"/>
  <c r="V265" i="35"/>
  <c r="J265" i="35"/>
  <c r="P280" i="35"/>
  <c r="G144" i="35"/>
  <c r="AC245" i="35"/>
  <c r="G238" i="35"/>
  <c r="G247" i="35"/>
  <c r="O263" i="35"/>
  <c r="G272" i="35"/>
  <c r="Y282" i="35"/>
  <c r="L246" i="35"/>
  <c r="K265" i="35"/>
  <c r="I280" i="35"/>
  <c r="G212" i="35"/>
  <c r="AB263" i="35"/>
  <c r="P263" i="35"/>
  <c r="M151" i="35"/>
  <c r="M134" i="35"/>
  <c r="M100" i="35"/>
  <c r="M117" i="35"/>
  <c r="K263" i="35"/>
  <c r="R248" i="35"/>
  <c r="Z282" i="35"/>
  <c r="L263" i="35"/>
  <c r="G276" i="35"/>
  <c r="N248" i="35"/>
  <c r="T246" i="35"/>
  <c r="S246" i="35"/>
  <c r="Q246" i="35"/>
  <c r="G143" i="35"/>
  <c r="G264" i="35"/>
  <c r="R246" i="35"/>
  <c r="V263" i="35"/>
  <c r="U248" i="35"/>
  <c r="N265" i="35"/>
  <c r="T263" i="35"/>
  <c r="S263" i="35"/>
  <c r="W249" i="35"/>
  <c r="G244" i="35"/>
  <c r="T282" i="35"/>
  <c r="K280" i="35"/>
  <c r="AA265" i="35"/>
  <c r="O248" i="35"/>
  <c r="X248" i="35"/>
  <c r="R263" i="35"/>
  <c r="U282" i="35"/>
  <c r="X246" i="35"/>
  <c r="L280" i="35"/>
  <c r="G259" i="35"/>
  <c r="W282" i="35"/>
  <c r="Q263" i="35"/>
  <c r="G129" i="35"/>
  <c r="O282" i="35"/>
  <c r="R265" i="35"/>
  <c r="U265" i="35"/>
  <c r="X263" i="35"/>
  <c r="M248" i="35"/>
  <c r="W265" i="35"/>
  <c r="N282" i="35"/>
  <c r="T280" i="35"/>
  <c r="Y246" i="35"/>
  <c r="S280" i="35"/>
  <c r="Q280" i="35"/>
  <c r="Z280" i="35"/>
  <c r="G255" i="35"/>
  <c r="G146" i="35"/>
  <c r="R280" i="35"/>
  <c r="L248" i="35"/>
  <c r="G257" i="35"/>
  <c r="Y263" i="35"/>
  <c r="AC277" i="35"/>
  <c r="R266" i="35"/>
  <c r="X277" i="35"/>
  <c r="Q266" i="35"/>
  <c r="L266" i="35"/>
  <c r="N249" i="35"/>
  <c r="J4" i="26"/>
  <c r="AA279" i="35"/>
  <c r="Y245" i="35"/>
  <c r="O260" i="35"/>
  <c r="V279" i="35"/>
  <c r="W283" i="35"/>
  <c r="V243" i="35"/>
  <c r="AC256" i="35"/>
  <c r="X249" i="35"/>
  <c r="X283" i="35"/>
  <c r="S260" i="35"/>
  <c r="W256" i="35"/>
  <c r="K283" i="35"/>
  <c r="R279" i="35"/>
  <c r="X279" i="35"/>
  <c r="P256" i="35"/>
  <c r="S256" i="35"/>
  <c r="N279" i="35"/>
  <c r="AA277" i="35"/>
  <c r="N277" i="35"/>
  <c r="V262" i="35"/>
  <c r="P273" i="35"/>
  <c r="K279" i="35"/>
  <c r="AA266" i="35"/>
  <c r="U256" i="35"/>
  <c r="W273" i="35"/>
  <c r="AC279" i="35"/>
  <c r="AB283" i="35"/>
  <c r="L148" i="35"/>
  <c r="L8" i="26" s="1"/>
  <c r="L14" i="26" s="1"/>
  <c r="M243" i="35"/>
  <c r="K148" i="35"/>
  <c r="K8" i="26" s="1"/>
  <c r="K14" i="26" s="1"/>
  <c r="T249" i="35"/>
  <c r="N260" i="35"/>
  <c r="AA256" i="35"/>
  <c r="AB273" i="35"/>
  <c r="J243" i="35"/>
  <c r="Q249" i="35"/>
  <c r="S249" i="35"/>
  <c r="Q256" i="35"/>
  <c r="L283" i="35"/>
  <c r="X260" i="35"/>
  <c r="R273" i="35"/>
  <c r="Q273" i="35"/>
  <c r="L256" i="35"/>
  <c r="Z249" i="35"/>
  <c r="L249" i="35"/>
  <c r="I301" i="35"/>
  <c r="O279" i="35"/>
  <c r="S273" i="35"/>
  <c r="L131" i="35"/>
  <c r="L7" i="26" s="1"/>
  <c r="L12" i="26" s="1"/>
  <c r="L273" i="35"/>
  <c r="AB256" i="35"/>
  <c r="AB249" i="35"/>
  <c r="AA239" i="35"/>
  <c r="M249" i="35"/>
  <c r="L260" i="35"/>
  <c r="Z245" i="35"/>
  <c r="O249" i="35"/>
  <c r="AB239" i="35"/>
  <c r="O283" i="35"/>
  <c r="G241" i="35"/>
  <c r="R239" i="35"/>
  <c r="J260" i="35"/>
  <c r="S239" i="35"/>
  <c r="J297" i="35"/>
  <c r="Q239" i="35"/>
  <c r="AA249" i="35"/>
  <c r="O273" i="35"/>
  <c r="K239" i="35"/>
  <c r="L245" i="35"/>
  <c r="L114" i="35"/>
  <c r="L6" i="26" s="1"/>
  <c r="L10" i="26" s="1"/>
  <c r="AB245" i="35"/>
  <c r="M273" i="35"/>
  <c r="I277" i="35"/>
  <c r="P245" i="35"/>
  <c r="AC266" i="35"/>
  <c r="AB243" i="35"/>
  <c r="O262" i="35"/>
  <c r="Z239" i="35"/>
  <c r="AA283" i="35"/>
  <c r="M239" i="35"/>
  <c r="O245" i="35"/>
  <c r="N245" i="35"/>
  <c r="G275" i="35"/>
  <c r="AB266" i="35"/>
  <c r="N262" i="35"/>
  <c r="M245" i="35"/>
  <c r="AC273" i="35"/>
  <c r="G300" i="35"/>
  <c r="I283" i="35"/>
  <c r="V260" i="35"/>
  <c r="M279" i="35"/>
  <c r="Z266" i="35"/>
  <c r="S243" i="35"/>
  <c r="O256" i="35"/>
  <c r="K256" i="35"/>
  <c r="L262" i="35"/>
  <c r="T245" i="35"/>
  <c r="I260" i="35"/>
  <c r="AC249" i="35"/>
  <c r="AB277" i="35"/>
  <c r="Q262" i="35"/>
  <c r="V273" i="35"/>
  <c r="W262" i="35"/>
  <c r="N266" i="35"/>
  <c r="R26" i="28"/>
  <c r="N273" i="35"/>
  <c r="Y273" i="35"/>
  <c r="AA262" i="35"/>
  <c r="Z279" i="35"/>
  <c r="T283" i="35"/>
  <c r="P249" i="35"/>
  <c r="K277" i="35"/>
  <c r="T266" i="35"/>
  <c r="AC243" i="35"/>
  <c r="O243" i="35"/>
  <c r="J277" i="35"/>
  <c r="U245" i="35"/>
  <c r="S283" i="35"/>
  <c r="O239" i="35"/>
  <c r="AB279" i="35"/>
  <c r="M256" i="35"/>
  <c r="T26" i="28"/>
  <c r="T5" i="26"/>
  <c r="I243" i="35"/>
  <c r="P279" i="35"/>
  <c r="AC283" i="35"/>
  <c r="K233" i="35"/>
  <c r="S299" i="35"/>
  <c r="L26" i="28"/>
  <c r="L5" i="26"/>
  <c r="I249" i="35"/>
  <c r="N299" i="35"/>
  <c r="AA260" i="35"/>
  <c r="M262" i="35"/>
  <c r="Z283" i="35"/>
  <c r="Y260" i="35"/>
  <c r="S277" i="35"/>
  <c r="T256" i="35"/>
  <c r="N283" i="35"/>
  <c r="M260" i="35"/>
  <c r="M26" i="28"/>
  <c r="M5" i="26"/>
  <c r="Z273" i="35"/>
  <c r="M266" i="35"/>
  <c r="U279" i="35"/>
  <c r="K273" i="35"/>
  <c r="L279" i="35"/>
  <c r="T279" i="35"/>
  <c r="Q26" i="28"/>
  <c r="Q5" i="26"/>
  <c r="J249" i="35"/>
  <c r="S262" i="35"/>
  <c r="U266" i="35"/>
  <c r="AB260" i="35"/>
  <c r="I266" i="35"/>
  <c r="J233" i="35"/>
  <c r="J33" i="26" s="1"/>
  <c r="J299" i="35"/>
  <c r="AC299" i="35"/>
  <c r="Y243" i="35"/>
  <c r="L239" i="35"/>
  <c r="Z26" i="28"/>
  <c r="Q279" i="35"/>
  <c r="V256" i="35"/>
  <c r="R277" i="35"/>
  <c r="V26" i="28"/>
  <c r="V5" i="26"/>
  <c r="AC262" i="35"/>
  <c r="U273" i="35"/>
  <c r="M277" i="35"/>
  <c r="Z256" i="35"/>
  <c r="M283" i="35"/>
  <c r="U262" i="35"/>
  <c r="K249" i="35"/>
  <c r="L277" i="35"/>
  <c r="T262" i="35"/>
  <c r="J283" i="35"/>
  <c r="Z260" i="35"/>
  <c r="S245" i="35"/>
  <c r="U283" i="35"/>
  <c r="T260" i="35"/>
  <c r="O299" i="35"/>
  <c r="P262" i="35"/>
  <c r="V239" i="35"/>
  <c r="Y279" i="35"/>
  <c r="W279" i="35"/>
  <c r="T273" i="35"/>
  <c r="Y26" i="28"/>
  <c r="Y5" i="26"/>
  <c r="J266" i="35"/>
  <c r="Z277" i="35"/>
  <c r="S279" i="35"/>
  <c r="AB26" i="28"/>
  <c r="AB5" i="26"/>
  <c r="U249" i="35"/>
  <c r="T243" i="35"/>
  <c r="U299" i="35"/>
  <c r="G258" i="35"/>
  <c r="G294" i="35"/>
  <c r="W245" i="35"/>
  <c r="U26" i="28"/>
  <c r="U5" i="26"/>
  <c r="X245" i="35"/>
  <c r="AA273" i="35"/>
  <c r="I262" i="35"/>
  <c r="L243" i="35"/>
  <c r="Z262" i="35"/>
  <c r="Z243" i="35"/>
  <c r="T277" i="35"/>
  <c r="I233" i="35"/>
  <c r="K297" i="35"/>
  <c r="K299" i="35"/>
  <c r="P283" i="35"/>
  <c r="N256" i="35"/>
  <c r="I279" i="35"/>
  <c r="Y256" i="35"/>
  <c r="S26" i="28"/>
  <c r="S5" i="26"/>
  <c r="U243" i="35"/>
  <c r="Y249" i="35"/>
  <c r="P26" i="28"/>
  <c r="P5" i="26"/>
  <c r="P243" i="35"/>
  <c r="J165" i="35"/>
  <c r="J9" i="26" s="1"/>
  <c r="J16" i="26" s="1"/>
  <c r="P266" i="35"/>
  <c r="S266" i="35"/>
  <c r="AC260" i="35"/>
  <c r="J256" i="35"/>
  <c r="M53" i="35"/>
  <c r="M25" i="28" s="1"/>
  <c r="K26" i="28"/>
  <c r="K5" i="26"/>
  <c r="R245" i="35"/>
  <c r="AA245" i="35"/>
  <c r="W243" i="35"/>
  <c r="X262" i="35"/>
  <c r="P239" i="35"/>
  <c r="I26" i="28"/>
  <c r="I5" i="26"/>
  <c r="I39" i="26" s="1"/>
  <c r="G22" i="26"/>
  <c r="N239" i="35"/>
  <c r="N243" i="35"/>
  <c r="I245" i="35"/>
  <c r="Y239" i="35"/>
  <c r="U260" i="35"/>
  <c r="Y283" i="35"/>
  <c r="X239" i="35"/>
  <c r="P260" i="35"/>
  <c r="Q245" i="35"/>
  <c r="Y262" i="35"/>
  <c r="J216" i="35"/>
  <c r="J25" i="26" s="1"/>
  <c r="J31" i="26" s="1"/>
  <c r="J273" i="35"/>
  <c r="J239" i="35"/>
  <c r="R249" i="35"/>
  <c r="R262" i="35"/>
  <c r="K262" i="35"/>
  <c r="W277" i="35"/>
  <c r="K260" i="35"/>
  <c r="J262" i="35"/>
  <c r="I256" i="35"/>
  <c r="X26" i="28"/>
  <c r="X5" i="26"/>
  <c r="V283" i="35"/>
  <c r="U277" i="35"/>
  <c r="Y266" i="35"/>
  <c r="X256" i="35"/>
  <c r="P277" i="35"/>
  <c r="Z299" i="35"/>
  <c r="AA26" i="28"/>
  <c r="AA5" i="26"/>
  <c r="O26" i="28"/>
  <c r="O5" i="26"/>
  <c r="J26" i="28"/>
  <c r="J5" i="26"/>
  <c r="J39" i="26" s="1"/>
  <c r="W260" i="35"/>
  <c r="K243" i="35"/>
  <c r="I239" i="35"/>
  <c r="V249" i="35"/>
  <c r="X273" i="35"/>
  <c r="W26" i="28"/>
  <c r="W5" i="26"/>
  <c r="Q233" i="35"/>
  <c r="Q33" i="26" s="1"/>
  <c r="R233" i="35"/>
  <c r="R33" i="26" s="1"/>
  <c r="R299" i="35"/>
  <c r="Y277" i="35"/>
  <c r="Y297" i="35"/>
  <c r="S73" i="35"/>
  <c r="Q243" i="35"/>
  <c r="X243" i="35"/>
  <c r="R283" i="35"/>
  <c r="Q283" i="35"/>
  <c r="I273" i="35"/>
  <c r="AC26" i="28"/>
  <c r="AC5" i="26"/>
  <c r="V266" i="35"/>
  <c r="AB262" i="35"/>
  <c r="P233" i="35"/>
  <c r="P33" i="26" s="1"/>
  <c r="P299" i="35"/>
  <c r="L297" i="35"/>
  <c r="G290" i="35"/>
  <c r="G161" i="35"/>
  <c r="G229" i="35"/>
  <c r="R21" i="26"/>
  <c r="G163" i="35"/>
  <c r="G231" i="35"/>
  <c r="I165" i="35"/>
  <c r="I9" i="26" s="1"/>
  <c r="I16" i="26" s="1"/>
  <c r="K182" i="35"/>
  <c r="K23" i="26" s="1"/>
  <c r="K27" i="26" s="1"/>
  <c r="R199" i="35"/>
  <c r="R24" i="26" s="1"/>
  <c r="R29" i="26" s="1"/>
  <c r="G113" i="35"/>
  <c r="J199" i="35"/>
  <c r="J24" i="26" s="1"/>
  <c r="J29" i="26" s="1"/>
  <c r="K131" i="35"/>
  <c r="K7" i="26" s="1"/>
  <c r="K12" i="26" s="1"/>
  <c r="K199" i="35"/>
  <c r="K24" i="26" s="1"/>
  <c r="K29" i="26" s="1"/>
  <c r="M131" i="35"/>
  <c r="M7" i="26" s="1"/>
  <c r="M12" i="26" s="1"/>
  <c r="K216" i="35"/>
  <c r="K25" i="26" s="1"/>
  <c r="P199" i="35"/>
  <c r="P24" i="26" s="1"/>
  <c r="P29" i="26" s="1"/>
  <c r="R182" i="35"/>
  <c r="R23" i="26" s="1"/>
  <c r="R27" i="26" s="1"/>
  <c r="P182" i="35"/>
  <c r="P23" i="26" s="1"/>
  <c r="P27" i="26" s="1"/>
  <c r="G54" i="35"/>
  <c r="G109" i="35"/>
  <c r="G107" i="35"/>
  <c r="R216" i="35"/>
  <c r="R25" i="26" s="1"/>
  <c r="R31" i="26" s="1"/>
  <c r="G211" i="35"/>
  <c r="O39" i="35"/>
  <c r="P216" i="35"/>
  <c r="P25" i="26" s="1"/>
  <c r="P31" i="26" s="1"/>
  <c r="G74" i="35"/>
  <c r="G177" i="35"/>
  <c r="G103" i="35"/>
  <c r="I114" i="35"/>
  <c r="I6" i="26" s="1"/>
  <c r="I10" i="26" s="1"/>
  <c r="I11" i="26" s="1"/>
  <c r="I15" i="30" s="1"/>
  <c r="G188" i="35"/>
  <c r="I199" i="35"/>
  <c r="I24" i="26" s="1"/>
  <c r="I29" i="26" s="1"/>
  <c r="S216" i="35"/>
  <c r="S25" i="26" s="1"/>
  <c r="S31" i="26" s="1"/>
  <c r="J182" i="35"/>
  <c r="J23" i="26" s="1"/>
  <c r="J27" i="26" s="1"/>
  <c r="M114" i="35"/>
  <c r="M6" i="26" s="1"/>
  <c r="M10" i="26" s="1"/>
  <c r="Q199" i="35"/>
  <c r="Q24" i="26" s="1"/>
  <c r="Q29" i="26" s="1"/>
  <c r="G171" i="35"/>
  <c r="I182" i="35"/>
  <c r="I23" i="26" s="1"/>
  <c r="I27" i="26" s="1"/>
  <c r="M148" i="35"/>
  <c r="M8" i="26" s="1"/>
  <c r="M14" i="26" s="1"/>
  <c r="Q216" i="35"/>
  <c r="Q25" i="26" s="1"/>
  <c r="Q31" i="26" s="1"/>
  <c r="G205" i="35"/>
  <c r="I216" i="35"/>
  <c r="I25" i="26" s="1"/>
  <c r="I31" i="26" s="1"/>
  <c r="Q182" i="35"/>
  <c r="Q23" i="26" s="1"/>
  <c r="Q27" i="26" s="1"/>
  <c r="L73" i="35"/>
  <c r="L46" i="28" s="1"/>
  <c r="K114" i="35"/>
  <c r="K6" i="26" s="1"/>
  <c r="K10" i="26" s="1"/>
  <c r="G175" i="35"/>
  <c r="L182" i="35"/>
  <c r="L23" i="26" s="1"/>
  <c r="L27" i="26" s="1"/>
  <c r="J148" i="35"/>
  <c r="J8" i="26" s="1"/>
  <c r="G209" i="35"/>
  <c r="S182" i="35"/>
  <c r="S23" i="26" s="1"/>
  <c r="S27" i="26" s="1"/>
  <c r="T58" i="35"/>
  <c r="M58" i="35"/>
  <c r="L199" i="35"/>
  <c r="L24" i="26" s="1"/>
  <c r="G192" i="35"/>
  <c r="G215" i="35"/>
  <c r="G126" i="35"/>
  <c r="L216" i="35"/>
  <c r="L25" i="26" s="1"/>
  <c r="J114" i="35"/>
  <c r="J6" i="26" s="1"/>
  <c r="J10" i="26" s="1"/>
  <c r="G181" i="35"/>
  <c r="N38" i="35"/>
  <c r="G124" i="35"/>
  <c r="J131" i="35"/>
  <c r="J7" i="26" s="1"/>
  <c r="J12" i="26" s="1"/>
  <c r="G130" i="35"/>
  <c r="I148" i="35"/>
  <c r="G198" i="35"/>
  <c r="G120" i="35"/>
  <c r="I131" i="35"/>
  <c r="I7" i="26" s="1"/>
  <c r="I12" i="26" s="1"/>
  <c r="I13" i="26" s="1"/>
  <c r="I16" i="30" s="1"/>
  <c r="G194" i="35"/>
  <c r="I4" i="26"/>
  <c r="P58" i="29"/>
  <c r="P6" i="35" s="1"/>
  <c r="N66" i="29"/>
  <c r="N21" i="35" s="1"/>
  <c r="M72" i="29"/>
  <c r="M45" i="28" s="1"/>
  <c r="M43" i="28"/>
  <c r="L4" i="26"/>
  <c r="I21" i="26"/>
  <c r="I49" i="28"/>
  <c r="I50" i="28" s="1"/>
  <c r="I5" i="30" s="1"/>
  <c r="J38" i="26"/>
  <c r="N63" i="29"/>
  <c r="N24" i="28" s="1"/>
  <c r="U66" i="29"/>
  <c r="U21" i="35" s="1"/>
  <c r="T43" i="28"/>
  <c r="T72" i="29"/>
  <c r="T45" i="28" s="1"/>
  <c r="O57" i="29"/>
  <c r="O5" i="35" s="1"/>
  <c r="N22" i="28"/>
  <c r="J2" i="30"/>
  <c r="K2" i="30" s="1"/>
  <c r="L2" i="30" s="1"/>
  <c r="M2" i="30" s="1"/>
  <c r="N2" i="30" s="1"/>
  <c r="O2" i="30" s="1"/>
  <c r="P2" i="30" s="1"/>
  <c r="Q2" i="30" s="1"/>
  <c r="R2" i="30" s="1"/>
  <c r="S2" i="30" s="1"/>
  <c r="T2" i="30" s="1"/>
  <c r="U2" i="30" s="1"/>
  <c r="V2" i="30" s="1"/>
  <c r="W2" i="30" s="1"/>
  <c r="X2" i="30" s="1"/>
  <c r="Y2" i="30" s="1"/>
  <c r="Z2" i="30" s="1"/>
  <c r="AA2" i="30" s="1"/>
  <c r="AB2" i="30" s="1"/>
  <c r="AC2" i="30" s="1"/>
  <c r="J1" i="30"/>
  <c r="K1" i="30" s="1"/>
  <c r="L1" i="30" s="1"/>
  <c r="M1" i="30" s="1"/>
  <c r="N1" i="30" s="1"/>
  <c r="O1" i="30" s="1"/>
  <c r="P1" i="30" s="1"/>
  <c r="Q1" i="30" s="1"/>
  <c r="R1" i="30" s="1"/>
  <c r="S1" i="30" s="1"/>
  <c r="T1" i="30" s="1"/>
  <c r="U1" i="30" s="1"/>
  <c r="V1" i="30" s="1"/>
  <c r="W1" i="30" s="1"/>
  <c r="X1" i="30" s="1"/>
  <c r="Y1" i="30" s="1"/>
  <c r="Z1" i="30" s="1"/>
  <c r="AA1" i="30" s="1"/>
  <c r="AB1" i="30" s="1"/>
  <c r="AC1" i="30" s="1"/>
  <c r="F126" i="29"/>
  <c r="F125" i="29" s="1"/>
  <c r="F124" i="29" s="1"/>
  <c r="F123" i="29" s="1"/>
  <c r="F122" i="29" s="1"/>
  <c r="F121" i="29" s="1"/>
  <c r="F120" i="29" s="1"/>
  <c r="F119" i="29" s="1"/>
  <c r="F118" i="29" s="1"/>
  <c r="F117" i="29" s="1"/>
  <c r="F116" i="29" s="1"/>
  <c r="F115" i="29" s="1"/>
  <c r="F114" i="29" s="1"/>
  <c r="F113" i="29" s="1"/>
  <c r="F112" i="29" s="1"/>
  <c r="F111" i="29" s="1"/>
  <c r="J2" i="29"/>
  <c r="K2" i="29" s="1"/>
  <c r="L2" i="29" s="1"/>
  <c r="M2" i="29" s="1"/>
  <c r="N2" i="29" s="1"/>
  <c r="O2" i="29" s="1"/>
  <c r="P2" i="29" s="1"/>
  <c r="Q2" i="29" s="1"/>
  <c r="R2" i="29" s="1"/>
  <c r="S2" i="29" s="1"/>
  <c r="T2" i="29" s="1"/>
  <c r="U2" i="29" s="1"/>
  <c r="V2" i="29" s="1"/>
  <c r="W2" i="29" s="1"/>
  <c r="X2" i="29" s="1"/>
  <c r="Y2" i="29" s="1"/>
  <c r="Z2" i="29" s="1"/>
  <c r="AA2" i="29" s="1"/>
  <c r="AB2" i="29" s="1"/>
  <c r="AC2" i="29" s="1"/>
  <c r="AD2" i="29" s="1"/>
  <c r="AE2" i="29" s="1"/>
  <c r="AF2" i="29" s="1"/>
  <c r="AG2" i="29" s="1"/>
  <c r="AH2" i="29" s="1"/>
  <c r="J1" i="29"/>
  <c r="K1" i="29" s="1"/>
  <c r="L1" i="29" s="1"/>
  <c r="M1" i="29" s="1"/>
  <c r="N1" i="29" s="1"/>
  <c r="O1" i="29" s="1"/>
  <c r="P1" i="29" s="1"/>
  <c r="Q1" i="29" s="1"/>
  <c r="R1" i="29" s="1"/>
  <c r="S1" i="29" s="1"/>
  <c r="T1" i="29" s="1"/>
  <c r="U1" i="29" s="1"/>
  <c r="V1" i="29" s="1"/>
  <c r="W1" i="29" s="1"/>
  <c r="X1" i="29" s="1"/>
  <c r="Y1" i="29" s="1"/>
  <c r="Z1" i="29" s="1"/>
  <c r="AA1" i="29" s="1"/>
  <c r="AB1" i="29" s="1"/>
  <c r="AC1" i="29" s="1"/>
  <c r="AD1" i="29" s="1"/>
  <c r="AE1" i="29" s="1"/>
  <c r="AF1" i="29" s="1"/>
  <c r="AG1" i="29" s="1"/>
  <c r="AH1" i="29" s="1"/>
  <c r="P20" i="28"/>
  <c r="P21" i="28"/>
  <c r="Q21" i="28" s="1"/>
  <c r="R21" i="28" s="1"/>
  <c r="S21" i="28" s="1"/>
  <c r="T21" i="28" s="1"/>
  <c r="U21" i="28" s="1"/>
  <c r="V21" i="28" s="1"/>
  <c r="W21" i="28" s="1"/>
  <c r="X21" i="28" s="1"/>
  <c r="Y21" i="28" s="1"/>
  <c r="Z21" i="28" s="1"/>
  <c r="AA21" i="28" s="1"/>
  <c r="AB21" i="28" s="1"/>
  <c r="AC21" i="28" s="1"/>
  <c r="J2" i="28"/>
  <c r="K2" i="28" s="1"/>
  <c r="L2" i="28" s="1"/>
  <c r="M2" i="28" s="1"/>
  <c r="N2" i="28" s="1"/>
  <c r="O2" i="28" s="1"/>
  <c r="P2" i="28" s="1"/>
  <c r="Q2" i="28" s="1"/>
  <c r="R2" i="28" s="1"/>
  <c r="S2" i="28" s="1"/>
  <c r="T2" i="28" s="1"/>
  <c r="U2" i="28" s="1"/>
  <c r="V2" i="28" s="1"/>
  <c r="W2" i="28" s="1"/>
  <c r="X2" i="28" s="1"/>
  <c r="Y2" i="28" s="1"/>
  <c r="Z2" i="28" s="1"/>
  <c r="AA2" i="28" s="1"/>
  <c r="AB2" i="28" s="1"/>
  <c r="AC2" i="28" s="1"/>
  <c r="J1" i="28"/>
  <c r="K1" i="28" s="1"/>
  <c r="L1" i="28" s="1"/>
  <c r="M1" i="28" s="1"/>
  <c r="N1" i="28" s="1"/>
  <c r="O1" i="28" s="1"/>
  <c r="P1" i="28" s="1"/>
  <c r="Q1" i="28" s="1"/>
  <c r="R1" i="28" s="1"/>
  <c r="S1" i="28" s="1"/>
  <c r="T1" i="28" s="1"/>
  <c r="U1" i="28" s="1"/>
  <c r="V1" i="28" s="1"/>
  <c r="W1" i="28" s="1"/>
  <c r="X1" i="28" s="1"/>
  <c r="Y1" i="28" s="1"/>
  <c r="Z1" i="28" s="1"/>
  <c r="AA1" i="28" s="1"/>
  <c r="AB1" i="28" s="1"/>
  <c r="AC1" i="28" s="1"/>
  <c r="N32" i="34" l="1"/>
  <c r="AA16" i="36"/>
  <c r="Y17" i="36"/>
  <c r="L25" i="34"/>
  <c r="L26" i="34"/>
  <c r="L30" i="34" s="1"/>
  <c r="Z17" i="36"/>
  <c r="AB16" i="36"/>
  <c r="Q10" i="30"/>
  <c r="Q58" i="26"/>
  <c r="G248" i="35"/>
  <c r="L19" i="30"/>
  <c r="L55" i="26"/>
  <c r="G246" i="35"/>
  <c r="M24" i="34"/>
  <c r="I56" i="26"/>
  <c r="K250" i="35"/>
  <c r="K30" i="34"/>
  <c r="N34" i="34"/>
  <c r="N37" i="34"/>
  <c r="N36" i="34"/>
  <c r="N35" i="34"/>
  <c r="N33" i="34"/>
  <c r="L233" i="35"/>
  <c r="L43" i="26" s="1"/>
  <c r="S21" i="26"/>
  <c r="S46" i="28"/>
  <c r="I29" i="30"/>
  <c r="M36" i="34"/>
  <c r="M34" i="34"/>
  <c r="M33" i="34"/>
  <c r="M37" i="34"/>
  <c r="M35" i="34"/>
  <c r="R30" i="34"/>
  <c r="I61" i="26"/>
  <c r="I59" i="26"/>
  <c r="J10" i="30"/>
  <c r="J58" i="26"/>
  <c r="J19" i="30"/>
  <c r="J55" i="26"/>
  <c r="T24" i="34"/>
  <c r="S26" i="34"/>
  <c r="S29" i="34"/>
  <c r="S28" i="34"/>
  <c r="S27" i="34"/>
  <c r="S25" i="34"/>
  <c r="J284" i="35"/>
  <c r="G282" i="35"/>
  <c r="G280" i="35"/>
  <c r="I8" i="26"/>
  <c r="I14" i="26" s="1"/>
  <c r="I15" i="26" s="1"/>
  <c r="I17" i="30" s="1"/>
  <c r="M219" i="35"/>
  <c r="M168" i="35"/>
  <c r="M236" i="35" s="1"/>
  <c r="M250" i="35" s="1"/>
  <c r="M185" i="35"/>
  <c r="M253" i="35" s="1"/>
  <c r="M267" i="35" s="1"/>
  <c r="M202" i="35"/>
  <c r="M270" i="35" s="1"/>
  <c r="M284" i="35" s="1"/>
  <c r="G263" i="35"/>
  <c r="N151" i="35"/>
  <c r="N165" i="35" s="1"/>
  <c r="N9" i="26" s="1"/>
  <c r="N16" i="26" s="1"/>
  <c r="N100" i="35"/>
  <c r="N114" i="35" s="1"/>
  <c r="N6" i="26" s="1"/>
  <c r="N10" i="26" s="1"/>
  <c r="N117" i="35"/>
  <c r="N131" i="35" s="1"/>
  <c r="N7" i="26" s="1"/>
  <c r="N12" i="26" s="1"/>
  <c r="N134" i="35"/>
  <c r="N148" i="35" s="1"/>
  <c r="N8" i="26" s="1"/>
  <c r="N14" i="26" s="1"/>
  <c r="T219" i="35"/>
  <c r="T202" i="35"/>
  <c r="T216" i="35" s="1"/>
  <c r="T25" i="26" s="1"/>
  <c r="T31" i="26" s="1"/>
  <c r="T185" i="35"/>
  <c r="T168" i="35"/>
  <c r="T182" i="35" s="1"/>
  <c r="T23" i="26" s="1"/>
  <c r="T27" i="26" s="1"/>
  <c r="O101" i="35"/>
  <c r="O237" i="35" s="1"/>
  <c r="O135" i="35"/>
  <c r="O271" i="35" s="1"/>
  <c r="O152" i="35"/>
  <c r="O288" i="35" s="1"/>
  <c r="O118" i="35"/>
  <c r="O254" i="35" s="1"/>
  <c r="L301" i="35"/>
  <c r="N254" i="35"/>
  <c r="G265" i="35"/>
  <c r="K301" i="35"/>
  <c r="I28" i="28"/>
  <c r="L44" i="26"/>
  <c r="J44" i="26"/>
  <c r="J46" i="26"/>
  <c r="J301" i="35"/>
  <c r="L250" i="35"/>
  <c r="K284" i="35"/>
  <c r="J50" i="26"/>
  <c r="L267" i="35"/>
  <c r="I30" i="26"/>
  <c r="I7" i="30" s="1"/>
  <c r="I46" i="26"/>
  <c r="I47" i="26" s="1"/>
  <c r="I32" i="26"/>
  <c r="I8" i="30" s="1"/>
  <c r="K44" i="26"/>
  <c r="I17" i="26"/>
  <c r="I18" i="26"/>
  <c r="J267" i="35"/>
  <c r="I34" i="26"/>
  <c r="I35" i="26"/>
  <c r="I9" i="30" s="1"/>
  <c r="I50" i="26"/>
  <c r="L284" i="35"/>
  <c r="I28" i="26"/>
  <c r="I6" i="30" s="1"/>
  <c r="I44" i="26"/>
  <c r="K46" i="26"/>
  <c r="L42" i="26"/>
  <c r="L31" i="26"/>
  <c r="L48" i="26" s="1"/>
  <c r="L41" i="26"/>
  <c r="L29" i="26"/>
  <c r="L46" i="26" s="1"/>
  <c r="K43" i="26"/>
  <c r="K33" i="26"/>
  <c r="K42" i="26"/>
  <c r="K31" i="26"/>
  <c r="K48" i="26" s="1"/>
  <c r="L40" i="26"/>
  <c r="K41" i="26"/>
  <c r="G266" i="35"/>
  <c r="F26" i="28"/>
  <c r="G299" i="35"/>
  <c r="G283" i="35"/>
  <c r="G245" i="35"/>
  <c r="G260" i="35"/>
  <c r="M165" i="35"/>
  <c r="M9" i="26" s="1"/>
  <c r="M16" i="26" s="1"/>
  <c r="G249" i="35"/>
  <c r="J42" i="26"/>
  <c r="J14" i="26"/>
  <c r="J48" i="26" s="1"/>
  <c r="G243" i="35"/>
  <c r="G277" i="35"/>
  <c r="G256" i="35"/>
  <c r="I267" i="35"/>
  <c r="G5" i="26"/>
  <c r="M73" i="35"/>
  <c r="M46" i="28" s="1"/>
  <c r="S233" i="35"/>
  <c r="S33" i="26" s="1"/>
  <c r="G297" i="35"/>
  <c r="G239" i="35"/>
  <c r="I250" i="35"/>
  <c r="G273" i="35"/>
  <c r="I284" i="35"/>
  <c r="K267" i="35"/>
  <c r="G262" i="35"/>
  <c r="G279" i="35"/>
  <c r="J43" i="26"/>
  <c r="N53" i="35"/>
  <c r="N25" i="28" s="1"/>
  <c r="T73" i="35"/>
  <c r="T46" i="28" s="1"/>
  <c r="T199" i="35"/>
  <c r="T24" i="26" s="1"/>
  <c r="T29" i="26" s="1"/>
  <c r="I43" i="26"/>
  <c r="J250" i="35"/>
  <c r="K40" i="26"/>
  <c r="J40" i="26"/>
  <c r="J41" i="26"/>
  <c r="I41" i="26"/>
  <c r="I40" i="26"/>
  <c r="I38" i="26"/>
  <c r="U58" i="35"/>
  <c r="N58" i="35"/>
  <c r="P39" i="35"/>
  <c r="O38" i="35"/>
  <c r="L21" i="26"/>
  <c r="Q58" i="29"/>
  <c r="Q6" i="35" s="1"/>
  <c r="K21" i="26"/>
  <c r="O66" i="29"/>
  <c r="O21" i="35" s="1"/>
  <c r="N72" i="29"/>
  <c r="N45" i="28" s="1"/>
  <c r="N43" i="28"/>
  <c r="N24" i="34" s="1"/>
  <c r="M4" i="26"/>
  <c r="O63" i="29"/>
  <c r="O24" i="28" s="1"/>
  <c r="V66" i="29"/>
  <c r="V21" i="35" s="1"/>
  <c r="U72" i="29"/>
  <c r="U45" i="28" s="1"/>
  <c r="U43" i="28"/>
  <c r="P57" i="29"/>
  <c r="P5" i="35" s="1"/>
  <c r="O22" i="28"/>
  <c r="L28" i="28"/>
  <c r="G44" i="29"/>
  <c r="P33" i="28" s="1"/>
  <c r="F33" i="28" s="1"/>
  <c r="K28" i="28"/>
  <c r="J28" i="28"/>
  <c r="F21" i="28"/>
  <c r="Q20" i="28"/>
  <c r="I48" i="26" l="1"/>
  <c r="I42" i="26"/>
  <c r="N38" i="34"/>
  <c r="L58" i="26"/>
  <c r="L61" i="26" s="1"/>
  <c r="L10" i="30"/>
  <c r="AB17" i="36"/>
  <c r="L33" i="26"/>
  <c r="AA17" i="36"/>
  <c r="AC16" i="36"/>
  <c r="M216" i="35"/>
  <c r="M25" i="26" s="1"/>
  <c r="M42" i="26" s="1"/>
  <c r="S30" i="34"/>
  <c r="S58" i="26" s="1"/>
  <c r="O32" i="34"/>
  <c r="O34" i="34" s="1"/>
  <c r="M199" i="35"/>
  <c r="M24" i="26" s="1"/>
  <c r="M38" i="34"/>
  <c r="M19" i="30" s="1"/>
  <c r="I62" i="26"/>
  <c r="M28" i="34"/>
  <c r="M26" i="34"/>
  <c r="M29" i="34"/>
  <c r="M27" i="34"/>
  <c r="M25" i="34"/>
  <c r="R58" i="26"/>
  <c r="R10" i="30"/>
  <c r="N55" i="26"/>
  <c r="N19" i="30"/>
  <c r="U24" i="34"/>
  <c r="T26" i="34"/>
  <c r="T27" i="34"/>
  <c r="T25" i="34"/>
  <c r="T28" i="34"/>
  <c r="T29" i="34"/>
  <c r="M55" i="26"/>
  <c r="L29" i="30"/>
  <c r="K10" i="30"/>
  <c r="K29" i="30" s="1"/>
  <c r="K58" i="26"/>
  <c r="N28" i="34"/>
  <c r="N27" i="34"/>
  <c r="N26" i="34"/>
  <c r="N29" i="34"/>
  <c r="N25" i="34"/>
  <c r="J61" i="26"/>
  <c r="J29" i="30"/>
  <c r="O151" i="35"/>
  <c r="O165" i="35" s="1"/>
  <c r="O134" i="35"/>
  <c r="O148" i="35" s="1"/>
  <c r="O117" i="35"/>
  <c r="O131" i="35" s="1"/>
  <c r="O7" i="26" s="1"/>
  <c r="O12" i="26" s="1"/>
  <c r="O100" i="35"/>
  <c r="O114" i="35" s="1"/>
  <c r="O6" i="26" s="1"/>
  <c r="O10" i="26" s="1"/>
  <c r="P101" i="35"/>
  <c r="P237" i="35" s="1"/>
  <c r="P152" i="35"/>
  <c r="P288" i="35" s="1"/>
  <c r="P118" i="35"/>
  <c r="P254" i="35" s="1"/>
  <c r="P135" i="35"/>
  <c r="P271" i="35" s="1"/>
  <c r="N219" i="35"/>
  <c r="N168" i="35"/>
  <c r="N236" i="35" s="1"/>
  <c r="N250" i="35" s="1"/>
  <c r="N185" i="35"/>
  <c r="N253" i="35" s="1"/>
  <c r="N267" i="35" s="1"/>
  <c r="N202" i="35"/>
  <c r="N270" i="35" s="1"/>
  <c r="N284" i="35" s="1"/>
  <c r="U219" i="35"/>
  <c r="U168" i="35"/>
  <c r="U182" i="35" s="1"/>
  <c r="U23" i="26" s="1"/>
  <c r="U27" i="26" s="1"/>
  <c r="U202" i="35"/>
  <c r="U185" i="35"/>
  <c r="U199" i="35" s="1"/>
  <c r="U24" i="26" s="1"/>
  <c r="U29" i="26" s="1"/>
  <c r="M182" i="35"/>
  <c r="M23" i="26" s="1"/>
  <c r="M40" i="26" s="1"/>
  <c r="I18" i="30"/>
  <c r="I28" i="30" s="1"/>
  <c r="I52" i="26"/>
  <c r="I51" i="26"/>
  <c r="K50" i="26"/>
  <c r="I49" i="26"/>
  <c r="I27" i="30"/>
  <c r="I26" i="30"/>
  <c r="I45" i="26"/>
  <c r="L50" i="26"/>
  <c r="I25" i="30"/>
  <c r="M41" i="26"/>
  <c r="M29" i="26"/>
  <c r="M46" i="26" s="1"/>
  <c r="O53" i="35"/>
  <c r="O25" i="28" s="1"/>
  <c r="T233" i="35"/>
  <c r="T33" i="26" s="1"/>
  <c r="U73" i="35"/>
  <c r="U46" i="28" s="1"/>
  <c r="N73" i="35"/>
  <c r="N46" i="28" s="1"/>
  <c r="T21" i="26"/>
  <c r="U216" i="35"/>
  <c r="U25" i="26" s="1"/>
  <c r="U31" i="26" s="1"/>
  <c r="M287" i="35"/>
  <c r="M233" i="35"/>
  <c r="Q39" i="35"/>
  <c r="P38" i="35"/>
  <c r="V58" i="35"/>
  <c r="O58" i="35"/>
  <c r="L38" i="26"/>
  <c r="O43" i="28"/>
  <c r="O72" i="29"/>
  <c r="O45" i="28" s="1"/>
  <c r="M21" i="26"/>
  <c r="K38" i="26"/>
  <c r="R58" i="29"/>
  <c r="R6" i="35" s="1"/>
  <c r="N4" i="26"/>
  <c r="P63" i="29"/>
  <c r="P24" i="28" s="1"/>
  <c r="W66" i="29"/>
  <c r="W21" i="35" s="1"/>
  <c r="V43" i="28"/>
  <c r="V72" i="29"/>
  <c r="V45" i="28" s="1"/>
  <c r="Q57" i="29"/>
  <c r="Q5" i="35" s="1"/>
  <c r="P22" i="28"/>
  <c r="M32" i="28"/>
  <c r="O32" i="28"/>
  <c r="N32" i="28"/>
  <c r="P32" i="28"/>
  <c r="R32" i="28"/>
  <c r="Q32" i="28"/>
  <c r="S32" i="28"/>
  <c r="U32" i="28"/>
  <c r="L32" i="28"/>
  <c r="T32" i="28"/>
  <c r="M28" i="28"/>
  <c r="R20" i="28"/>
  <c r="N28" i="28"/>
  <c r="D39" i="19"/>
  <c r="H17" i="28"/>
  <c r="H35" i="30" s="1"/>
  <c r="J1" i="26"/>
  <c r="J136" i="29" s="1"/>
  <c r="O33" i="34" l="1"/>
  <c r="O36" i="34"/>
  <c r="P32" i="34"/>
  <c r="O35" i="34"/>
  <c r="O37" i="34"/>
  <c r="M31" i="26"/>
  <c r="M48" i="26" s="1"/>
  <c r="AC17" i="36"/>
  <c r="G17" i="36" s="1"/>
  <c r="G16" i="36"/>
  <c r="S10" i="30"/>
  <c r="T30" i="34"/>
  <c r="T58" i="26" s="1"/>
  <c r="M30" i="34"/>
  <c r="M10" i="30" s="1"/>
  <c r="M29" i="30" s="1"/>
  <c r="K61" i="26"/>
  <c r="J52" i="26"/>
  <c r="P36" i="34"/>
  <c r="P37" i="34"/>
  <c r="P34" i="34"/>
  <c r="P35" i="34"/>
  <c r="P33" i="34"/>
  <c r="O24" i="34"/>
  <c r="N30" i="34"/>
  <c r="V24" i="34"/>
  <c r="U27" i="34"/>
  <c r="U26" i="34"/>
  <c r="U28" i="34"/>
  <c r="U25" i="34"/>
  <c r="U29" i="34"/>
  <c r="J18" i="26"/>
  <c r="J18" i="30" s="1"/>
  <c r="J35" i="26"/>
  <c r="M27" i="26"/>
  <c r="M44" i="26" s="1"/>
  <c r="N216" i="35"/>
  <c r="N25" i="26" s="1"/>
  <c r="N31" i="26" s="1"/>
  <c r="N48" i="26" s="1"/>
  <c r="O219" i="35"/>
  <c r="O168" i="35"/>
  <c r="O236" i="35" s="1"/>
  <c r="O250" i="35" s="1"/>
  <c r="O185" i="35"/>
  <c r="O253" i="35" s="1"/>
  <c r="O267" i="35" s="1"/>
  <c r="O202" i="35"/>
  <c r="O270" i="35" s="1"/>
  <c r="O284" i="35" s="1"/>
  <c r="N199" i="35"/>
  <c r="N24" i="26" s="1"/>
  <c r="N29" i="26" s="1"/>
  <c r="N46" i="26" s="1"/>
  <c r="V219" i="35"/>
  <c r="V202" i="35"/>
  <c r="V216" i="35" s="1"/>
  <c r="V25" i="26" s="1"/>
  <c r="V31" i="26" s="1"/>
  <c r="V185" i="35"/>
  <c r="V199" i="35" s="1"/>
  <c r="V24" i="26" s="1"/>
  <c r="V29" i="26" s="1"/>
  <c r="V168" i="35"/>
  <c r="V182" i="35" s="1"/>
  <c r="V23" i="26" s="1"/>
  <c r="V27" i="26" s="1"/>
  <c r="Q101" i="35"/>
  <c r="Q237" i="35" s="1"/>
  <c r="Q152" i="35"/>
  <c r="Q288" i="35" s="1"/>
  <c r="Q118" i="35"/>
  <c r="Q135" i="35"/>
  <c r="Q271" i="35" s="1"/>
  <c r="N182" i="35"/>
  <c r="N23" i="26" s="1"/>
  <c r="N40" i="26" s="1"/>
  <c r="O8" i="26"/>
  <c r="O14" i="26" s="1"/>
  <c r="P151" i="35"/>
  <c r="P117" i="35"/>
  <c r="P253" i="35" s="1"/>
  <c r="P267" i="35" s="1"/>
  <c r="P100" i="35"/>
  <c r="P114" i="35" s="1"/>
  <c r="P6" i="26" s="1"/>
  <c r="P10" i="26" s="1"/>
  <c r="P44" i="26" s="1"/>
  <c r="P134" i="35"/>
  <c r="P270" i="35" s="1"/>
  <c r="P284" i="35" s="1"/>
  <c r="U21" i="26"/>
  <c r="P53" i="35"/>
  <c r="P25" i="28" s="1"/>
  <c r="M33" i="26"/>
  <c r="O287" i="35"/>
  <c r="O301" i="35" s="1"/>
  <c r="O233" i="35"/>
  <c r="O33" i="26" s="1"/>
  <c r="O199" i="35"/>
  <c r="O24" i="26" s="1"/>
  <c r="M301" i="35"/>
  <c r="U233" i="35"/>
  <c r="U33" i="26" s="1"/>
  <c r="V73" i="35"/>
  <c r="V46" i="28" s="1"/>
  <c r="O9" i="26"/>
  <c r="O16" i="26" s="1"/>
  <c r="N287" i="35"/>
  <c r="N301" i="35" s="1"/>
  <c r="N233" i="35"/>
  <c r="W58" i="35"/>
  <c r="R39" i="35"/>
  <c r="M38" i="26"/>
  <c r="O73" i="35"/>
  <c r="O46" i="28" s="1"/>
  <c r="Q38" i="35"/>
  <c r="S58" i="29"/>
  <c r="S6" i="35" s="1"/>
  <c r="K39" i="26"/>
  <c r="L39" i="26"/>
  <c r="O28" i="28"/>
  <c r="O4" i="26"/>
  <c r="M39" i="26"/>
  <c r="J132" i="29"/>
  <c r="Q63" i="29"/>
  <c r="Q24" i="28" s="1"/>
  <c r="X66" i="29"/>
  <c r="X21" i="35" s="1"/>
  <c r="W72" i="29"/>
  <c r="W45" i="28" s="1"/>
  <c r="W43" i="28"/>
  <c r="F32" i="28"/>
  <c r="R57" i="29"/>
  <c r="R5" i="35" s="1"/>
  <c r="Q22" i="28"/>
  <c r="L39" i="28"/>
  <c r="U39" i="28"/>
  <c r="U40" i="28" s="1"/>
  <c r="S39" i="28"/>
  <c r="S40" i="28" s="1"/>
  <c r="T39" i="28"/>
  <c r="T40" i="28" s="1"/>
  <c r="Q39" i="28"/>
  <c r="Q40" i="28" s="1"/>
  <c r="R39" i="28"/>
  <c r="R40" i="28" s="1"/>
  <c r="P39" i="28"/>
  <c r="P40" i="28" s="1"/>
  <c r="N39" i="28"/>
  <c r="N40" i="28" s="1"/>
  <c r="O39" i="28"/>
  <c r="O40" i="28" s="1"/>
  <c r="M39" i="28"/>
  <c r="M40" i="28" s="1"/>
  <c r="S20" i="28"/>
  <c r="P19" i="28"/>
  <c r="I17" i="28"/>
  <c r="I13" i="30" s="1"/>
  <c r="I29" i="28"/>
  <c r="I14" i="30" s="1"/>
  <c r="I24" i="30" s="1"/>
  <c r="K1" i="26"/>
  <c r="J2" i="26"/>
  <c r="K2" i="26" s="1"/>
  <c r="L2" i="26" s="1"/>
  <c r="M2" i="26" s="1"/>
  <c r="N2" i="26" s="1"/>
  <c r="O2" i="26" s="1"/>
  <c r="P2" i="26" s="1"/>
  <c r="Q2" i="26" s="1"/>
  <c r="R2" i="26" s="1"/>
  <c r="S2" i="26" s="1"/>
  <c r="T2" i="26" s="1"/>
  <c r="U2" i="26" s="1"/>
  <c r="V2" i="26" s="1"/>
  <c r="W2" i="26" s="1"/>
  <c r="X2" i="26" s="1"/>
  <c r="Y2" i="26" s="1"/>
  <c r="Z2" i="26" s="1"/>
  <c r="AA2" i="26" s="1"/>
  <c r="AB2" i="26" s="1"/>
  <c r="AC2" i="26" s="1"/>
  <c r="AD2" i="26" s="1"/>
  <c r="AE2" i="26" s="1"/>
  <c r="AF2" i="26" s="1"/>
  <c r="AG2" i="26" s="1"/>
  <c r="AH2" i="26" s="1"/>
  <c r="U30" i="34" l="1"/>
  <c r="M58" i="26"/>
  <c r="M61" i="26" s="1"/>
  <c r="T10" i="30"/>
  <c r="O38" i="34"/>
  <c r="O216" i="35"/>
  <c r="O25" i="26" s="1"/>
  <c r="O31" i="26" s="1"/>
  <c r="O48" i="26" s="1"/>
  <c r="P38" i="34"/>
  <c r="P19" i="30" s="1"/>
  <c r="P29" i="30" s="1"/>
  <c r="J62" i="26"/>
  <c r="U10" i="30"/>
  <c r="U58" i="26"/>
  <c r="N10" i="30"/>
  <c r="N29" i="30" s="1"/>
  <c r="N58" i="26"/>
  <c r="N61" i="26" s="1"/>
  <c r="O28" i="34"/>
  <c r="O27" i="34"/>
  <c r="O25" i="34"/>
  <c r="O26" i="34"/>
  <c r="O29" i="34"/>
  <c r="J9" i="30"/>
  <c r="J28" i="30" s="1"/>
  <c r="Q32" i="34"/>
  <c r="W24" i="34"/>
  <c r="V27" i="34"/>
  <c r="V26" i="34"/>
  <c r="V28" i="34"/>
  <c r="V29" i="34"/>
  <c r="V25" i="34"/>
  <c r="J59" i="26"/>
  <c r="J56" i="26"/>
  <c r="N41" i="26"/>
  <c r="N27" i="26"/>
  <c r="N44" i="26" s="1"/>
  <c r="O182" i="35"/>
  <c r="O23" i="26" s="1"/>
  <c r="O40" i="26" s="1"/>
  <c r="N42" i="26"/>
  <c r="R101" i="35"/>
  <c r="R237" i="35" s="1"/>
  <c r="R118" i="35"/>
  <c r="R254" i="35" s="1"/>
  <c r="R135" i="35"/>
  <c r="R271" i="35" s="1"/>
  <c r="R152" i="35"/>
  <c r="R288" i="35" s="1"/>
  <c r="P148" i="35"/>
  <c r="W219" i="35"/>
  <c r="W202" i="35"/>
  <c r="W216" i="35" s="1"/>
  <c r="W25" i="26" s="1"/>
  <c r="W31" i="26" s="1"/>
  <c r="W168" i="35"/>
  <c r="W182" i="35" s="1"/>
  <c r="W23" i="26" s="1"/>
  <c r="W27" i="26" s="1"/>
  <c r="W185" i="35"/>
  <c r="W199" i="35" s="1"/>
  <c r="W24" i="26" s="1"/>
  <c r="W29" i="26" s="1"/>
  <c r="P236" i="35"/>
  <c r="P250" i="35" s="1"/>
  <c r="P131" i="35"/>
  <c r="P7" i="26" s="1"/>
  <c r="P41" i="26" s="1"/>
  <c r="Q254" i="35"/>
  <c r="Q151" i="35"/>
  <c r="Q100" i="35"/>
  <c r="Q236" i="35" s="1"/>
  <c r="Q250" i="35" s="1"/>
  <c r="Q117" i="35"/>
  <c r="Q253" i="35" s="1"/>
  <c r="Q134" i="35"/>
  <c r="Q270" i="35" s="1"/>
  <c r="Q284" i="35" s="1"/>
  <c r="O50" i="26"/>
  <c r="M50" i="26"/>
  <c r="K132" i="29"/>
  <c r="K136" i="29"/>
  <c r="J41" i="28"/>
  <c r="J4" i="30" s="1"/>
  <c r="J51" i="26"/>
  <c r="J49" i="26"/>
  <c r="J47" i="26"/>
  <c r="J45" i="26"/>
  <c r="J34" i="26"/>
  <c r="J32" i="26"/>
  <c r="J8" i="30" s="1"/>
  <c r="J17" i="26"/>
  <c r="J28" i="26"/>
  <c r="J6" i="30" s="1"/>
  <c r="J30" i="26"/>
  <c r="J7" i="30" s="1"/>
  <c r="J11" i="26"/>
  <c r="J15" i="30" s="1"/>
  <c r="J13" i="26"/>
  <c r="J16" i="30" s="1"/>
  <c r="J15" i="26"/>
  <c r="J17" i="30" s="1"/>
  <c r="K41" i="28"/>
  <c r="K4" i="30" s="1"/>
  <c r="K49" i="26"/>
  <c r="K11" i="26"/>
  <c r="K15" i="30" s="1"/>
  <c r="K28" i="26"/>
  <c r="K6" i="30" s="1"/>
  <c r="K32" i="26"/>
  <c r="K8" i="30" s="1"/>
  <c r="K34" i="26"/>
  <c r="Q131" i="35"/>
  <c r="Q7" i="26" s="1"/>
  <c r="Q41" i="26" s="1"/>
  <c r="Q148" i="35"/>
  <c r="Q8" i="26" s="1"/>
  <c r="Q42" i="26" s="1"/>
  <c r="N43" i="26"/>
  <c r="N33" i="26"/>
  <c r="O41" i="26"/>
  <c r="O29" i="26"/>
  <c r="O46" i="26" s="1"/>
  <c r="O43" i="26"/>
  <c r="W73" i="35"/>
  <c r="W46" i="28" s="1"/>
  <c r="P287" i="35"/>
  <c r="P165" i="35"/>
  <c r="V21" i="26"/>
  <c r="V233" i="35"/>
  <c r="V33" i="26" s="1"/>
  <c r="Q53" i="35"/>
  <c r="Q25" i="28" s="1"/>
  <c r="Q114" i="35"/>
  <c r="Q6" i="26" s="1"/>
  <c r="M43" i="26"/>
  <c r="O42" i="26"/>
  <c r="P40" i="26"/>
  <c r="R38" i="35"/>
  <c r="X58" i="35"/>
  <c r="S39" i="35"/>
  <c r="N21" i="26"/>
  <c r="O21" i="26"/>
  <c r="T58" i="29"/>
  <c r="T6" i="35" s="1"/>
  <c r="P4" i="26"/>
  <c r="I35" i="30"/>
  <c r="I23" i="30"/>
  <c r="R63" i="29"/>
  <c r="R24" i="28" s="1"/>
  <c r="Y66" i="29"/>
  <c r="Y21" i="35" s="1"/>
  <c r="X72" i="29"/>
  <c r="X45" i="28" s="1"/>
  <c r="X43" i="28"/>
  <c r="X24" i="34" s="1"/>
  <c r="L40" i="28"/>
  <c r="F40" i="28" s="1"/>
  <c r="F39" i="28"/>
  <c r="S57" i="29"/>
  <c r="S5" i="35" s="1"/>
  <c r="R22" i="28"/>
  <c r="R32" i="34" s="1"/>
  <c r="Q19" i="28"/>
  <c r="P28" i="28"/>
  <c r="T20" i="28"/>
  <c r="J17" i="28"/>
  <c r="J13" i="30" s="1"/>
  <c r="J35" i="30" s="1"/>
  <c r="J29" i="28"/>
  <c r="J14" i="30" s="1"/>
  <c r="L1" i="26"/>
  <c r="L136" i="29" s="1"/>
  <c r="O55" i="26" l="1"/>
  <c r="O19" i="30"/>
  <c r="O27" i="26"/>
  <c r="O44" i="26" s="1"/>
  <c r="Q267" i="35"/>
  <c r="P55" i="26"/>
  <c r="V30" i="34"/>
  <c r="Q37" i="34"/>
  <c r="Q35" i="34"/>
  <c r="Q34" i="34"/>
  <c r="Q33" i="34"/>
  <c r="Q36" i="34"/>
  <c r="R37" i="34"/>
  <c r="R35" i="34"/>
  <c r="R34" i="34"/>
  <c r="R33" i="34"/>
  <c r="R36" i="34"/>
  <c r="K62" i="26"/>
  <c r="P61" i="26"/>
  <c r="V10" i="30"/>
  <c r="V58" i="26"/>
  <c r="K13" i="26"/>
  <c r="K16" i="30" s="1"/>
  <c r="K30" i="26"/>
  <c r="K7" i="30" s="1"/>
  <c r="K51" i="26"/>
  <c r="K45" i="26"/>
  <c r="W27" i="34"/>
  <c r="W25" i="34"/>
  <c r="W29" i="34"/>
  <c r="W28" i="34"/>
  <c r="W26" i="34"/>
  <c r="O30" i="34"/>
  <c r="X27" i="34"/>
  <c r="X29" i="34"/>
  <c r="X28" i="34"/>
  <c r="X26" i="34"/>
  <c r="X25" i="34"/>
  <c r="P12" i="26"/>
  <c r="P46" i="26" s="1"/>
  <c r="K47" i="26"/>
  <c r="K15" i="26"/>
  <c r="K17" i="30" s="1"/>
  <c r="K27" i="30" s="1"/>
  <c r="K59" i="26"/>
  <c r="K56" i="26"/>
  <c r="K18" i="26"/>
  <c r="K18" i="30" s="1"/>
  <c r="K35" i="26"/>
  <c r="K52" i="26"/>
  <c r="L18" i="26"/>
  <c r="L18" i="30" s="1"/>
  <c r="L35" i="26"/>
  <c r="L9" i="30" s="1"/>
  <c r="L52" i="26"/>
  <c r="K17" i="26"/>
  <c r="R151" i="35"/>
  <c r="R134" i="35"/>
  <c r="R270" i="35" s="1"/>
  <c r="R284" i="35" s="1"/>
  <c r="R117" i="35"/>
  <c r="R253" i="35" s="1"/>
  <c r="R267" i="35" s="1"/>
  <c r="R100" i="35"/>
  <c r="R236" i="35" s="1"/>
  <c r="R250" i="35" s="1"/>
  <c r="P8" i="26"/>
  <c r="S101" i="35"/>
  <c r="S237" i="35" s="1"/>
  <c r="S135" i="35"/>
  <c r="S271" i="35" s="1"/>
  <c r="S152" i="35"/>
  <c r="S288" i="35" s="1"/>
  <c r="S118" i="35"/>
  <c r="S254" i="35" s="1"/>
  <c r="X219" i="35"/>
  <c r="X233" i="35" s="1"/>
  <c r="X33" i="26" s="1"/>
  <c r="X202" i="35"/>
  <c r="X216" i="35" s="1"/>
  <c r="X25" i="26" s="1"/>
  <c r="X31" i="26" s="1"/>
  <c r="X185" i="35"/>
  <c r="X199" i="35" s="1"/>
  <c r="X24" i="26" s="1"/>
  <c r="X29" i="26" s="1"/>
  <c r="X168" i="35"/>
  <c r="X182" i="35" s="1"/>
  <c r="X23" i="26" s="1"/>
  <c r="X27" i="26" s="1"/>
  <c r="K25" i="30"/>
  <c r="J26" i="30"/>
  <c r="J25" i="30"/>
  <c r="Q14" i="26"/>
  <c r="Q48" i="26" s="1"/>
  <c r="N50" i="26"/>
  <c r="J27" i="30"/>
  <c r="J23" i="30"/>
  <c r="Q12" i="26"/>
  <c r="Q46" i="26" s="1"/>
  <c r="P301" i="35"/>
  <c r="W233" i="35"/>
  <c r="W33" i="26" s="1"/>
  <c r="Q165" i="35"/>
  <c r="Q9" i="26" s="1"/>
  <c r="Q287" i="35"/>
  <c r="Q301" i="35" s="1"/>
  <c r="Q40" i="26"/>
  <c r="Q10" i="26"/>
  <c r="Q44" i="26" s="1"/>
  <c r="W21" i="26"/>
  <c r="R53" i="35"/>
  <c r="R25" i="28" s="1"/>
  <c r="P9" i="26"/>
  <c r="X73" i="35"/>
  <c r="X46" i="28" s="1"/>
  <c r="S38" i="35"/>
  <c r="Y58" i="35"/>
  <c r="T39" i="35"/>
  <c r="O38" i="26"/>
  <c r="U58" i="29"/>
  <c r="U6" i="35" s="1"/>
  <c r="N38" i="26"/>
  <c r="P38" i="26"/>
  <c r="Q4" i="26"/>
  <c r="Q38" i="26" s="1"/>
  <c r="P39" i="26"/>
  <c r="L132" i="29"/>
  <c r="I32" i="30"/>
  <c r="S63" i="29"/>
  <c r="S24" i="28" s="1"/>
  <c r="Z66" i="29"/>
  <c r="Z21" i="35" s="1"/>
  <c r="Y43" i="28"/>
  <c r="Y24" i="34" s="1"/>
  <c r="Y72" i="29"/>
  <c r="Y45" i="28" s="1"/>
  <c r="T57" i="29"/>
  <c r="T5" i="35" s="1"/>
  <c r="S22" i="28"/>
  <c r="R19" i="28"/>
  <c r="Q28" i="28"/>
  <c r="K29" i="28"/>
  <c r="K14" i="30" s="1"/>
  <c r="K17" i="28"/>
  <c r="K13" i="30" s="1"/>
  <c r="K23" i="30" s="1"/>
  <c r="U20" i="28"/>
  <c r="M1" i="26"/>
  <c r="M136" i="29" s="1"/>
  <c r="S32" i="34" l="1"/>
  <c r="K26" i="30"/>
  <c r="R131" i="35"/>
  <c r="R7" i="26" s="1"/>
  <c r="R41" i="26" s="1"/>
  <c r="R148" i="35"/>
  <c r="R8" i="26" s="1"/>
  <c r="R42" i="26" s="1"/>
  <c r="R38" i="34"/>
  <c r="K9" i="30"/>
  <c r="K28" i="30" s="1"/>
  <c r="O10" i="30"/>
  <c r="O29" i="30" s="1"/>
  <c r="O58" i="26"/>
  <c r="Q38" i="34"/>
  <c r="S35" i="34"/>
  <c r="S33" i="34"/>
  <c r="S36" i="34"/>
  <c r="S34" i="34"/>
  <c r="S37" i="34"/>
  <c r="W30" i="34"/>
  <c r="R114" i="35"/>
  <c r="R6" i="26" s="1"/>
  <c r="R10" i="26" s="1"/>
  <c r="R44" i="26" s="1"/>
  <c r="M52" i="26"/>
  <c r="Y28" i="34"/>
  <c r="Y26" i="34"/>
  <c r="Y29" i="34"/>
  <c r="Y27" i="34"/>
  <c r="Y25" i="34"/>
  <c r="L62" i="26"/>
  <c r="X30" i="34"/>
  <c r="L56" i="26"/>
  <c r="L59" i="26"/>
  <c r="L28" i="30"/>
  <c r="M18" i="26"/>
  <c r="M18" i="30" s="1"/>
  <c r="M35" i="26"/>
  <c r="S151" i="35"/>
  <c r="S134" i="35"/>
  <c r="S270" i="35" s="1"/>
  <c r="S284" i="35" s="1"/>
  <c r="S100" i="35"/>
  <c r="S236" i="35" s="1"/>
  <c r="S250" i="35" s="1"/>
  <c r="S117" i="35"/>
  <c r="S253" i="35" s="1"/>
  <c r="S267" i="35" s="1"/>
  <c r="P42" i="26"/>
  <c r="P14" i="26"/>
  <c r="P48" i="26" s="1"/>
  <c r="T101" i="35"/>
  <c r="T237" i="35" s="1"/>
  <c r="T135" i="35"/>
  <c r="T271" i="35" s="1"/>
  <c r="T152" i="35"/>
  <c r="T288" i="35" s="1"/>
  <c r="T118" i="35"/>
  <c r="T254" i="35" s="1"/>
  <c r="Y219" i="35"/>
  <c r="Y202" i="35"/>
  <c r="Y216" i="35" s="1"/>
  <c r="Y25" i="26" s="1"/>
  <c r="Y31" i="26" s="1"/>
  <c r="Y185" i="35"/>
  <c r="Y199" i="35" s="1"/>
  <c r="Y24" i="26" s="1"/>
  <c r="Y29" i="26" s="1"/>
  <c r="Y168" i="35"/>
  <c r="Y182" i="35" s="1"/>
  <c r="Y23" i="26" s="1"/>
  <c r="Y27" i="26" s="1"/>
  <c r="R40" i="26"/>
  <c r="R14" i="26"/>
  <c r="R48" i="26" s="1"/>
  <c r="L41" i="28"/>
  <c r="L4" i="30" s="1"/>
  <c r="L49" i="26"/>
  <c r="L47" i="26"/>
  <c r="L45" i="26"/>
  <c r="L51" i="26"/>
  <c r="L15" i="26"/>
  <c r="L17" i="30" s="1"/>
  <c r="L17" i="26"/>
  <c r="L13" i="26"/>
  <c r="L16" i="30" s="1"/>
  <c r="L28" i="26"/>
  <c r="L6" i="30" s="1"/>
  <c r="L11" i="26"/>
  <c r="L15" i="30" s="1"/>
  <c r="L30" i="26"/>
  <c r="L7" i="30" s="1"/>
  <c r="L34" i="26"/>
  <c r="L32" i="26"/>
  <c r="L8" i="30" s="1"/>
  <c r="R12" i="26"/>
  <c r="R46" i="26" s="1"/>
  <c r="Q43" i="26"/>
  <c r="Q16" i="26"/>
  <c r="P43" i="26"/>
  <c r="P16" i="26"/>
  <c r="Y73" i="35"/>
  <c r="Y46" i="28" s="1"/>
  <c r="S53" i="35"/>
  <c r="S25" i="28" s="1"/>
  <c r="R165" i="35"/>
  <c r="R287" i="35"/>
  <c r="S148" i="35"/>
  <c r="S8" i="26" s="1"/>
  <c r="U39" i="35"/>
  <c r="T38" i="35"/>
  <c r="Z58" i="35"/>
  <c r="N39" i="26"/>
  <c r="V58" i="29"/>
  <c r="V6" i="35" s="1"/>
  <c r="X21" i="26"/>
  <c r="O39" i="26"/>
  <c r="R4" i="26"/>
  <c r="R38" i="26" s="1"/>
  <c r="Q39" i="26"/>
  <c r="K35" i="30"/>
  <c r="M132" i="29"/>
  <c r="T63" i="29"/>
  <c r="T24" i="28" s="1"/>
  <c r="AA66" i="29"/>
  <c r="AA21" i="35" s="1"/>
  <c r="Z43" i="28"/>
  <c r="Z72" i="29"/>
  <c r="Z45" i="28" s="1"/>
  <c r="U57" i="29"/>
  <c r="U5" i="35" s="1"/>
  <c r="T22" i="28"/>
  <c r="L17" i="28"/>
  <c r="L13" i="30" s="1"/>
  <c r="L35" i="30" s="1"/>
  <c r="L29" i="28"/>
  <c r="L14" i="30" s="1"/>
  <c r="V20" i="28"/>
  <c r="J49" i="28"/>
  <c r="S19" i="28"/>
  <c r="R28" i="28"/>
  <c r="N1" i="26"/>
  <c r="N136" i="29" s="1"/>
  <c r="M62" i="26" l="1"/>
  <c r="Y30" i="34"/>
  <c r="S38" i="34"/>
  <c r="M9" i="30"/>
  <c r="M28" i="30" s="1"/>
  <c r="S114" i="35"/>
  <c r="S6" i="26" s="1"/>
  <c r="S40" i="26" s="1"/>
  <c r="S131" i="35"/>
  <c r="S7" i="26" s="1"/>
  <c r="S41" i="26" s="1"/>
  <c r="T32" i="34"/>
  <c r="O61" i="26"/>
  <c r="Q19" i="30"/>
  <c r="Q29" i="30" s="1"/>
  <c r="Q55" i="26"/>
  <c r="Z24" i="34"/>
  <c r="X58" i="26"/>
  <c r="X10" i="30"/>
  <c r="W10" i="30"/>
  <c r="W58" i="26"/>
  <c r="R55" i="26"/>
  <c r="R61" i="26" s="1"/>
  <c r="R19" i="30"/>
  <c r="R29" i="30" s="1"/>
  <c r="M56" i="26"/>
  <c r="M59" i="26"/>
  <c r="N18" i="26"/>
  <c r="N18" i="30" s="1"/>
  <c r="N35" i="26"/>
  <c r="N52" i="26"/>
  <c r="Z219" i="35"/>
  <c r="Z185" i="35"/>
  <c r="Z199" i="35" s="1"/>
  <c r="Z24" i="26" s="1"/>
  <c r="Z29" i="26" s="1"/>
  <c r="Z202" i="35"/>
  <c r="Z216" i="35" s="1"/>
  <c r="Z25" i="26" s="1"/>
  <c r="Z31" i="26" s="1"/>
  <c r="Z168" i="35"/>
  <c r="Z182" i="35" s="1"/>
  <c r="Z23" i="26" s="1"/>
  <c r="Z27" i="26" s="1"/>
  <c r="T151" i="35"/>
  <c r="T117" i="35"/>
  <c r="T253" i="35" s="1"/>
  <c r="T267" i="35" s="1"/>
  <c r="T100" i="35"/>
  <c r="T236" i="35" s="1"/>
  <c r="T250" i="35" s="1"/>
  <c r="T134" i="35"/>
  <c r="T270" i="35" s="1"/>
  <c r="T284" i="35" s="1"/>
  <c r="U101" i="35"/>
  <c r="U237" i="35" s="1"/>
  <c r="U152" i="35"/>
  <c r="U288" i="35" s="1"/>
  <c r="U118" i="35"/>
  <c r="U254" i="35" s="1"/>
  <c r="U135" i="35"/>
  <c r="U271" i="35" s="1"/>
  <c r="P50" i="26"/>
  <c r="Q50" i="26"/>
  <c r="L27" i="30"/>
  <c r="L26" i="30"/>
  <c r="L25" i="30"/>
  <c r="L23" i="30"/>
  <c r="M41" i="28"/>
  <c r="M4" i="30" s="1"/>
  <c r="M47" i="26"/>
  <c r="M45" i="26"/>
  <c r="M51" i="26"/>
  <c r="M49" i="26"/>
  <c r="M15" i="26"/>
  <c r="M17" i="30" s="1"/>
  <c r="M11" i="26"/>
  <c r="M15" i="30" s="1"/>
  <c r="M13" i="26"/>
  <c r="M16" i="30" s="1"/>
  <c r="M17" i="26"/>
  <c r="M30" i="26"/>
  <c r="M7" i="30" s="1"/>
  <c r="M32" i="26"/>
  <c r="M8" i="30" s="1"/>
  <c r="M28" i="26"/>
  <c r="M6" i="30" s="1"/>
  <c r="M34" i="26"/>
  <c r="R301" i="35"/>
  <c r="S12" i="26"/>
  <c r="S46" i="26" s="1"/>
  <c r="T53" i="35"/>
  <c r="T25" i="28" s="1"/>
  <c r="S165" i="35"/>
  <c r="S9" i="26" s="1"/>
  <c r="S287" i="35"/>
  <c r="S301" i="35" s="1"/>
  <c r="R9" i="26"/>
  <c r="T114" i="35"/>
  <c r="T6" i="26" s="1"/>
  <c r="Y233" i="35"/>
  <c r="Z73" i="35"/>
  <c r="Z46" i="28" s="1"/>
  <c r="S42" i="26"/>
  <c r="S14" i="26"/>
  <c r="S48" i="26" s="1"/>
  <c r="Y21" i="26"/>
  <c r="AA58" i="35"/>
  <c r="V39" i="35"/>
  <c r="U38" i="35"/>
  <c r="W58" i="29"/>
  <c r="W6" i="35" s="1"/>
  <c r="S4" i="26"/>
  <c r="N132" i="29"/>
  <c r="U63" i="29"/>
  <c r="U24" i="28" s="1"/>
  <c r="AB66" i="29"/>
  <c r="AB21" i="35" s="1"/>
  <c r="AA43" i="28"/>
  <c r="AA24" i="34" s="1"/>
  <c r="AA72" i="29"/>
  <c r="AA45" i="28" s="1"/>
  <c r="V57" i="29"/>
  <c r="V5" i="35" s="1"/>
  <c r="U22" i="28"/>
  <c r="J50" i="28"/>
  <c r="J5" i="30" s="1"/>
  <c r="J24" i="30" s="1"/>
  <c r="M17" i="28"/>
  <c r="M13" i="30" s="1"/>
  <c r="M35" i="30" s="1"/>
  <c r="M29" i="28"/>
  <c r="M14" i="30" s="1"/>
  <c r="T19" i="28"/>
  <c r="S28" i="28"/>
  <c r="K49" i="28"/>
  <c r="K50" i="28" s="1"/>
  <c r="W20" i="28"/>
  <c r="O1" i="26"/>
  <c r="O136" i="29" s="1"/>
  <c r="AA28" i="34" l="1"/>
  <c r="AA27" i="34"/>
  <c r="AA29" i="34"/>
  <c r="AA25" i="34"/>
  <c r="AA26" i="34"/>
  <c r="Y58" i="26"/>
  <c r="Y10" i="30"/>
  <c r="Z28" i="34"/>
  <c r="Z27" i="34"/>
  <c r="Z29" i="34"/>
  <c r="Z26" i="34"/>
  <c r="Z25" i="34"/>
  <c r="Q61" i="26"/>
  <c r="S55" i="26"/>
  <c r="S61" i="26" s="1"/>
  <c r="S19" i="30"/>
  <c r="S29" i="30" s="1"/>
  <c r="N9" i="30"/>
  <c r="N28" i="30" s="1"/>
  <c r="N62" i="26"/>
  <c r="U32" i="34"/>
  <c r="S10" i="26"/>
  <c r="S44" i="26" s="1"/>
  <c r="T35" i="34"/>
  <c r="T33" i="34"/>
  <c r="T36" i="34"/>
  <c r="T34" i="34"/>
  <c r="T37" i="34"/>
  <c r="N56" i="26"/>
  <c r="N59" i="26"/>
  <c r="O18" i="26"/>
  <c r="O18" i="30" s="1"/>
  <c r="O35" i="26"/>
  <c r="O9" i="30" s="1"/>
  <c r="O52" i="26"/>
  <c r="V101" i="35"/>
  <c r="V237" i="35" s="1"/>
  <c r="V152" i="35"/>
  <c r="V288" i="35" s="1"/>
  <c r="V118" i="35"/>
  <c r="V254" i="35" s="1"/>
  <c r="V135" i="35"/>
  <c r="V271" i="35" s="1"/>
  <c r="U151" i="35"/>
  <c r="U100" i="35"/>
  <c r="U236" i="35" s="1"/>
  <c r="U250" i="35" s="1"/>
  <c r="U117" i="35"/>
  <c r="U253" i="35" s="1"/>
  <c r="U267" i="35" s="1"/>
  <c r="U134" i="35"/>
  <c r="U270" i="35" s="1"/>
  <c r="U284" i="35" s="1"/>
  <c r="AA219" i="35"/>
  <c r="AA202" i="35"/>
  <c r="AA216" i="35" s="1"/>
  <c r="AA25" i="26" s="1"/>
  <c r="AA31" i="26" s="1"/>
  <c r="AA168" i="35"/>
  <c r="AA182" i="35" s="1"/>
  <c r="AA23" i="26" s="1"/>
  <c r="AA27" i="26" s="1"/>
  <c r="AA185" i="35"/>
  <c r="AA199" i="35" s="1"/>
  <c r="AA24" i="26" s="1"/>
  <c r="AA29" i="26" s="1"/>
  <c r="T148" i="35"/>
  <c r="T8" i="26" s="1"/>
  <c r="T42" i="26" s="1"/>
  <c r="T131" i="35"/>
  <c r="T7" i="26" s="1"/>
  <c r="T41" i="26" s="1"/>
  <c r="M26" i="30"/>
  <c r="M25" i="30"/>
  <c r="M27" i="30"/>
  <c r="M23" i="30"/>
  <c r="Z21" i="26"/>
  <c r="N41" i="28"/>
  <c r="N4" i="30" s="1"/>
  <c r="N47" i="26"/>
  <c r="N45" i="26"/>
  <c r="N49" i="26"/>
  <c r="N51" i="26"/>
  <c r="N13" i="26"/>
  <c r="N16" i="30" s="1"/>
  <c r="N15" i="26"/>
  <c r="N17" i="30" s="1"/>
  <c r="N11" i="26"/>
  <c r="N15" i="30" s="1"/>
  <c r="N17" i="26"/>
  <c r="N30" i="26"/>
  <c r="N7" i="30" s="1"/>
  <c r="N28" i="26"/>
  <c r="N6" i="30" s="1"/>
  <c r="N32" i="26"/>
  <c r="N8" i="30" s="1"/>
  <c r="N34" i="26"/>
  <c r="S43" i="26"/>
  <c r="S16" i="26"/>
  <c r="R43" i="26"/>
  <c r="R16" i="26"/>
  <c r="U114" i="35"/>
  <c r="U6" i="26" s="1"/>
  <c r="U40" i="26" s="1"/>
  <c r="T40" i="26"/>
  <c r="T10" i="26"/>
  <c r="T44" i="26" s="1"/>
  <c r="Z233" i="35"/>
  <c r="Z33" i="26" s="1"/>
  <c r="T165" i="35"/>
  <c r="T287" i="35"/>
  <c r="T301" i="35" s="1"/>
  <c r="Y33" i="26"/>
  <c r="U131" i="35"/>
  <c r="U7" i="26" s="1"/>
  <c r="U53" i="35"/>
  <c r="U25" i="28" s="1"/>
  <c r="AA73" i="35"/>
  <c r="AA46" i="28" s="1"/>
  <c r="R39" i="26"/>
  <c r="AB58" i="35"/>
  <c r="W39" i="35"/>
  <c r="V38" i="35"/>
  <c r="X58" i="29"/>
  <c r="X6" i="35" s="1"/>
  <c r="S38" i="26"/>
  <c r="T4" i="26"/>
  <c r="T38" i="26" s="1"/>
  <c r="S39" i="26"/>
  <c r="O132" i="29"/>
  <c r="J32" i="30"/>
  <c r="K5" i="30"/>
  <c r="V63" i="29"/>
  <c r="V24" i="28" s="1"/>
  <c r="AC66" i="29"/>
  <c r="AC21" i="35" s="1"/>
  <c r="AB43" i="28"/>
  <c r="AB72" i="29"/>
  <c r="AB45" i="28" s="1"/>
  <c r="W57" i="29"/>
  <c r="W5" i="35" s="1"/>
  <c r="V22" i="28"/>
  <c r="N17" i="28"/>
  <c r="N13" i="30" s="1"/>
  <c r="N35" i="30" s="1"/>
  <c r="N29" i="28"/>
  <c r="N14" i="30" s="1"/>
  <c r="X20" i="28"/>
  <c r="U19" i="28"/>
  <c r="T28" i="28"/>
  <c r="L49" i="28"/>
  <c r="L50" i="28" s="1"/>
  <c r="P1" i="26"/>
  <c r="P136" i="29" s="1"/>
  <c r="AB24" i="34" l="1"/>
  <c r="V32" i="34"/>
  <c r="T12" i="26"/>
  <c r="T46" i="26" s="1"/>
  <c r="T38" i="34"/>
  <c r="V33" i="34"/>
  <c r="V36" i="34"/>
  <c r="V34" i="34"/>
  <c r="V37" i="34"/>
  <c r="V35" i="34"/>
  <c r="AB28" i="34"/>
  <c r="AB26" i="34"/>
  <c r="AB25" i="34"/>
  <c r="AB29" i="34"/>
  <c r="AB27" i="34"/>
  <c r="AA30" i="34"/>
  <c r="U33" i="34"/>
  <c r="U36" i="34"/>
  <c r="U37" i="34"/>
  <c r="U34" i="34"/>
  <c r="U35" i="34"/>
  <c r="Z30" i="34"/>
  <c r="O62" i="26"/>
  <c r="O28" i="30"/>
  <c r="O59" i="26"/>
  <c r="O56" i="26"/>
  <c r="P35" i="26"/>
  <c r="P9" i="30" s="1"/>
  <c r="P18" i="26"/>
  <c r="P18" i="30" s="1"/>
  <c r="T14" i="26"/>
  <c r="T48" i="26" s="1"/>
  <c r="P52" i="26"/>
  <c r="V151" i="35"/>
  <c r="V134" i="35"/>
  <c r="V270" i="35" s="1"/>
  <c r="V284" i="35" s="1"/>
  <c r="V117" i="35"/>
  <c r="V253" i="35" s="1"/>
  <c r="V267" i="35" s="1"/>
  <c r="V100" i="35"/>
  <c r="V236" i="35" s="1"/>
  <c r="V250" i="35" s="1"/>
  <c r="W101" i="35"/>
  <c r="W237" i="35" s="1"/>
  <c r="W135" i="35"/>
  <c r="W271" i="35" s="1"/>
  <c r="W118" i="35"/>
  <c r="W254" i="35" s="1"/>
  <c r="W152" i="35"/>
  <c r="W288" i="35" s="1"/>
  <c r="U148" i="35"/>
  <c r="U8" i="26" s="1"/>
  <c r="U14" i="26" s="1"/>
  <c r="U48" i="26" s="1"/>
  <c r="AB219" i="35"/>
  <c r="AB185" i="35"/>
  <c r="AB199" i="35" s="1"/>
  <c r="AB24" i="26" s="1"/>
  <c r="AB29" i="26" s="1"/>
  <c r="AB168" i="35"/>
  <c r="AB182" i="35" s="1"/>
  <c r="AB23" i="26" s="1"/>
  <c r="AB27" i="26" s="1"/>
  <c r="AB202" i="35"/>
  <c r="AB216" i="35" s="1"/>
  <c r="AB25" i="26" s="1"/>
  <c r="AB31" i="26" s="1"/>
  <c r="P28" i="30"/>
  <c r="R50" i="26"/>
  <c r="S50" i="26"/>
  <c r="N27" i="30"/>
  <c r="N25" i="30"/>
  <c r="N26" i="30"/>
  <c r="N23" i="30"/>
  <c r="K24" i="30"/>
  <c r="K32" i="30" s="1"/>
  <c r="U10" i="26"/>
  <c r="U44" i="26" s="1"/>
  <c r="O41" i="28"/>
  <c r="O4" i="30" s="1"/>
  <c r="O45" i="26"/>
  <c r="O51" i="26"/>
  <c r="O49" i="26"/>
  <c r="O47" i="26"/>
  <c r="O13" i="26"/>
  <c r="O16" i="30" s="1"/>
  <c r="O15" i="26"/>
  <c r="O17" i="30" s="1"/>
  <c r="O11" i="26"/>
  <c r="O15" i="30" s="1"/>
  <c r="O34" i="26"/>
  <c r="O32" i="26"/>
  <c r="O8" i="30" s="1"/>
  <c r="O17" i="26"/>
  <c r="O28" i="26"/>
  <c r="O6" i="30" s="1"/>
  <c r="O30" i="26"/>
  <c r="O7" i="30" s="1"/>
  <c r="AA21" i="26"/>
  <c r="V148" i="35"/>
  <c r="V8" i="26" s="1"/>
  <c r="V42" i="26" s="1"/>
  <c r="V131" i="35"/>
  <c r="V7" i="26" s="1"/>
  <c r="V41" i="26" s="1"/>
  <c r="T9" i="26"/>
  <c r="V53" i="35"/>
  <c r="V25" i="28" s="1"/>
  <c r="AA233" i="35"/>
  <c r="AA33" i="26" s="1"/>
  <c r="U41" i="26"/>
  <c r="U12" i="26"/>
  <c r="U46" i="26" s="1"/>
  <c r="U165" i="35"/>
  <c r="U9" i="26" s="1"/>
  <c r="U287" i="35"/>
  <c r="U301" i="35" s="1"/>
  <c r="AB73" i="35"/>
  <c r="AC58" i="35"/>
  <c r="X39" i="35"/>
  <c r="W38" i="35"/>
  <c r="Y58" i="29"/>
  <c r="Y6" i="35" s="1"/>
  <c r="U4" i="26"/>
  <c r="U38" i="26" s="1"/>
  <c r="T39" i="26"/>
  <c r="L5" i="30"/>
  <c r="P132" i="29"/>
  <c r="W63" i="29"/>
  <c r="W24" i="28" s="1"/>
  <c r="AD66" i="29"/>
  <c r="AC72" i="29"/>
  <c r="AC45" i="28" s="1"/>
  <c r="F45" i="28" s="1"/>
  <c r="AC43" i="28"/>
  <c r="AC24" i="34" s="1"/>
  <c r="X57" i="29"/>
  <c r="X5" i="35" s="1"/>
  <c r="W22" i="28"/>
  <c r="W32" i="34" s="1"/>
  <c r="M49" i="28"/>
  <c r="M50" i="28" s="1"/>
  <c r="V19" i="28"/>
  <c r="U28" i="28"/>
  <c r="O17" i="28"/>
  <c r="O29" i="28"/>
  <c r="O14" i="30" s="1"/>
  <c r="Y20" i="28"/>
  <c r="Q1" i="26"/>
  <c r="Q136" i="29" s="1"/>
  <c r="AB30" i="34" l="1"/>
  <c r="Z10" i="30"/>
  <c r="Z58" i="26"/>
  <c r="W33" i="34"/>
  <c r="W35" i="34"/>
  <c r="W36" i="34"/>
  <c r="W34" i="34"/>
  <c r="W37" i="34"/>
  <c r="AB21" i="26"/>
  <c r="AB46" i="28"/>
  <c r="V38" i="34"/>
  <c r="U38" i="34"/>
  <c r="T19" i="30"/>
  <c r="T29" i="30" s="1"/>
  <c r="T55" i="26"/>
  <c r="T61" i="26" s="1"/>
  <c r="AA58" i="26"/>
  <c r="AA10" i="30"/>
  <c r="AC26" i="34"/>
  <c r="AC25" i="34"/>
  <c r="AC27" i="34"/>
  <c r="AC28" i="34"/>
  <c r="AC29" i="34"/>
  <c r="G24" i="34"/>
  <c r="P62" i="26"/>
  <c r="P59" i="26"/>
  <c r="P56" i="26"/>
  <c r="Q35" i="26"/>
  <c r="Q9" i="30" s="1"/>
  <c r="Q18" i="26"/>
  <c r="Q18" i="30" s="1"/>
  <c r="Q52" i="26"/>
  <c r="V114" i="35"/>
  <c r="V6" i="26" s="1"/>
  <c r="V40" i="26" s="1"/>
  <c r="AC219" i="35"/>
  <c r="AC202" i="35"/>
  <c r="AC185" i="35"/>
  <c r="G185" i="35" s="1"/>
  <c r="AC168" i="35"/>
  <c r="G168" i="35" s="1"/>
  <c r="U42" i="26"/>
  <c r="W151" i="35"/>
  <c r="W100" i="35"/>
  <c r="W114" i="35" s="1"/>
  <c r="W6" i="26" s="1"/>
  <c r="W40" i="26" s="1"/>
  <c r="W117" i="35"/>
  <c r="W253" i="35" s="1"/>
  <c r="W267" i="35" s="1"/>
  <c r="W134" i="35"/>
  <c r="W270" i="35" s="1"/>
  <c r="W284" i="35" s="1"/>
  <c r="X101" i="35"/>
  <c r="X237" i="35" s="1"/>
  <c r="X135" i="35"/>
  <c r="X271" i="35" s="1"/>
  <c r="X152" i="35"/>
  <c r="X288" i="35" s="1"/>
  <c r="X118" i="35"/>
  <c r="X254" i="35" s="1"/>
  <c r="O27" i="30"/>
  <c r="V10" i="26"/>
  <c r="V44" i="26" s="1"/>
  <c r="V12" i="26"/>
  <c r="V46" i="26" s="1"/>
  <c r="O25" i="30"/>
  <c r="O26" i="30"/>
  <c r="L24" i="30"/>
  <c r="L32" i="30" s="1"/>
  <c r="P41" i="28"/>
  <c r="P4" i="30" s="1"/>
  <c r="P45" i="26"/>
  <c r="P47" i="26"/>
  <c r="P51" i="26"/>
  <c r="P49" i="26"/>
  <c r="P28" i="26"/>
  <c r="P6" i="30" s="1"/>
  <c r="P30" i="26"/>
  <c r="P7" i="30" s="1"/>
  <c r="P34" i="26"/>
  <c r="P32" i="26"/>
  <c r="P8" i="30" s="1"/>
  <c r="P11" i="26"/>
  <c r="P15" i="30" s="1"/>
  <c r="P13" i="26"/>
  <c r="P16" i="30" s="1"/>
  <c r="P15" i="26"/>
  <c r="P17" i="30" s="1"/>
  <c r="P17" i="26"/>
  <c r="V14" i="26"/>
  <c r="V48" i="26" s="1"/>
  <c r="T43" i="26"/>
  <c r="T16" i="26"/>
  <c r="U43" i="26"/>
  <c r="U16" i="26"/>
  <c r="AC233" i="35"/>
  <c r="G219" i="35"/>
  <c r="V4" i="26"/>
  <c r="V38" i="26" s="1"/>
  <c r="AB233" i="35"/>
  <c r="AB33" i="26" s="1"/>
  <c r="V287" i="35"/>
  <c r="V301" i="35" s="1"/>
  <c r="V165" i="35"/>
  <c r="W53" i="35"/>
  <c r="W25" i="28" s="1"/>
  <c r="X38" i="35"/>
  <c r="AC73" i="35"/>
  <c r="G58" i="35"/>
  <c r="Y39" i="35"/>
  <c r="AC216" i="35"/>
  <c r="G202" i="35"/>
  <c r="Z58" i="29"/>
  <c r="Z6" i="35" s="1"/>
  <c r="U39" i="26"/>
  <c r="Q132" i="29"/>
  <c r="O13" i="30"/>
  <c r="O23" i="30" s="1"/>
  <c r="M5" i="30"/>
  <c r="X63" i="29"/>
  <c r="X24" i="28" s="1"/>
  <c r="AE66" i="29"/>
  <c r="AD72" i="29"/>
  <c r="Y57" i="29"/>
  <c r="Y5" i="35" s="1"/>
  <c r="X22" i="28"/>
  <c r="P17" i="28"/>
  <c r="P13" i="30" s="1"/>
  <c r="P35" i="30" s="1"/>
  <c r="P29" i="28"/>
  <c r="P14" i="30" s="1"/>
  <c r="Z20" i="28"/>
  <c r="N49" i="28"/>
  <c r="W19" i="28"/>
  <c r="V28" i="28"/>
  <c r="R1" i="26"/>
  <c r="R136" i="29" s="1"/>
  <c r="AC199" i="35" l="1"/>
  <c r="G199" i="35" s="1"/>
  <c r="AC182" i="35"/>
  <c r="V55" i="26"/>
  <c r="V61" i="26" s="1"/>
  <c r="V19" i="30"/>
  <c r="V29" i="30" s="1"/>
  <c r="R52" i="26"/>
  <c r="G73" i="35"/>
  <c r="AC46" i="28"/>
  <c r="F46" i="28" s="1"/>
  <c r="U19" i="30"/>
  <c r="U29" i="30" s="1"/>
  <c r="U55" i="26"/>
  <c r="U61" i="26" s="1"/>
  <c r="Q62" i="26"/>
  <c r="AC30" i="34"/>
  <c r="W38" i="34"/>
  <c r="X32" i="34"/>
  <c r="AB58" i="26"/>
  <c r="AB10" i="30"/>
  <c r="Q28" i="30"/>
  <c r="Q59" i="26"/>
  <c r="Q56" i="26"/>
  <c r="R35" i="26"/>
  <c r="R9" i="30" s="1"/>
  <c r="R18" i="26"/>
  <c r="R18" i="30" s="1"/>
  <c r="W131" i="35"/>
  <c r="W7" i="26" s="1"/>
  <c r="W41" i="26" s="1"/>
  <c r="W148" i="35"/>
  <c r="W8" i="26" s="1"/>
  <c r="W42" i="26" s="1"/>
  <c r="W236" i="35"/>
  <c r="W250" i="35" s="1"/>
  <c r="Y101" i="35"/>
  <c r="Y237" i="35" s="1"/>
  <c r="Y135" i="35"/>
  <c r="Y271" i="35" s="1"/>
  <c r="Y152" i="35"/>
  <c r="Y288" i="35" s="1"/>
  <c r="Y118" i="35"/>
  <c r="Y254" i="35" s="1"/>
  <c r="X151" i="35"/>
  <c r="X134" i="35"/>
  <c r="X270" i="35" s="1"/>
  <c r="X284" i="35" s="1"/>
  <c r="X100" i="35"/>
  <c r="X236" i="35" s="1"/>
  <c r="X250" i="35" s="1"/>
  <c r="X117" i="35"/>
  <c r="X253" i="35" s="1"/>
  <c r="X267" i="35" s="1"/>
  <c r="P27" i="30"/>
  <c r="U50" i="26"/>
  <c r="T50" i="26"/>
  <c r="P25" i="30"/>
  <c r="P26" i="30"/>
  <c r="M24" i="30"/>
  <c r="M32" i="30" s="1"/>
  <c r="P23" i="30"/>
  <c r="W10" i="26"/>
  <c r="W44" i="26" s="1"/>
  <c r="Q41" i="28"/>
  <c r="Q4" i="30" s="1"/>
  <c r="Q51" i="26"/>
  <c r="Q49" i="26"/>
  <c r="Q47" i="26"/>
  <c r="Q45" i="26"/>
  <c r="Q32" i="26"/>
  <c r="Q8" i="30" s="1"/>
  <c r="Q30" i="26"/>
  <c r="Q7" i="30" s="1"/>
  <c r="Q28" i="26"/>
  <c r="Q6" i="30" s="1"/>
  <c r="Q34" i="26"/>
  <c r="Q15" i="26"/>
  <c r="Q17" i="30" s="1"/>
  <c r="Q13" i="26"/>
  <c r="Q16" i="30" s="1"/>
  <c r="Q11" i="26"/>
  <c r="Q15" i="30" s="1"/>
  <c r="Q17" i="26"/>
  <c r="W4" i="26"/>
  <c r="W38" i="26" s="1"/>
  <c r="X53" i="35"/>
  <c r="X25" i="28" s="1"/>
  <c r="V9" i="26"/>
  <c r="W165" i="35"/>
  <c r="W9" i="26" s="1"/>
  <c r="W287" i="35"/>
  <c r="W301" i="35" s="1"/>
  <c r="AC33" i="26"/>
  <c r="G233" i="35"/>
  <c r="G216" i="35"/>
  <c r="AC25" i="26"/>
  <c r="AC31" i="26" s="1"/>
  <c r="G182" i="35"/>
  <c r="AC23" i="26"/>
  <c r="AC27" i="26" s="1"/>
  <c r="Y38" i="35"/>
  <c r="Z39" i="35"/>
  <c r="AA58" i="29"/>
  <c r="AA6" i="35" s="1"/>
  <c r="AC21" i="26"/>
  <c r="V39" i="26"/>
  <c r="O35" i="30"/>
  <c r="R132" i="29"/>
  <c r="Y63" i="29"/>
  <c r="Y24" i="28" s="1"/>
  <c r="AF66" i="29"/>
  <c r="AE72" i="29"/>
  <c r="Z57" i="29"/>
  <c r="Z5" i="35" s="1"/>
  <c r="Y22" i="28"/>
  <c r="Q17" i="28"/>
  <c r="Q13" i="30" s="1"/>
  <c r="Q35" i="30" s="1"/>
  <c r="Q29" i="28"/>
  <c r="Q14" i="30" s="1"/>
  <c r="N50" i="28"/>
  <c r="N5" i="30" s="1"/>
  <c r="N24" i="30" s="1"/>
  <c r="AA20" i="28"/>
  <c r="O49" i="28"/>
  <c r="O50" i="28" s="1"/>
  <c r="X19" i="28"/>
  <c r="W28" i="28"/>
  <c r="S1" i="26"/>
  <c r="S136" i="29" s="1"/>
  <c r="AC24" i="26" l="1"/>
  <c r="AC29" i="26" s="1"/>
  <c r="W14" i="26"/>
  <c r="W48" i="26" s="1"/>
  <c r="W12" i="26"/>
  <c r="W46" i="26" s="1"/>
  <c r="X33" i="34"/>
  <c r="X36" i="34"/>
  <c r="X34" i="34"/>
  <c r="X37" i="34"/>
  <c r="X35" i="34"/>
  <c r="R62" i="26"/>
  <c r="W19" i="30"/>
  <c r="W29" i="30" s="1"/>
  <c r="W55" i="26"/>
  <c r="W61" i="26" s="1"/>
  <c r="R28" i="30"/>
  <c r="Y32" i="34"/>
  <c r="AC58" i="26"/>
  <c r="AC10" i="30"/>
  <c r="R59" i="26"/>
  <c r="R56" i="26"/>
  <c r="S35" i="26"/>
  <c r="S9" i="30" s="1"/>
  <c r="S18" i="26"/>
  <c r="S18" i="30" s="1"/>
  <c r="S52" i="26"/>
  <c r="X131" i="35"/>
  <c r="X7" i="26" s="1"/>
  <c r="X41" i="26" s="1"/>
  <c r="Y151" i="35"/>
  <c r="Y117" i="35"/>
  <c r="Y253" i="35" s="1"/>
  <c r="Y267" i="35" s="1"/>
  <c r="Y100" i="35"/>
  <c r="Y236" i="35" s="1"/>
  <c r="Y250" i="35" s="1"/>
  <c r="Y134" i="35"/>
  <c r="Y270" i="35" s="1"/>
  <c r="Y284" i="35" s="1"/>
  <c r="X114" i="35"/>
  <c r="X6" i="26" s="1"/>
  <c r="X40" i="26" s="1"/>
  <c r="Z101" i="35"/>
  <c r="Z237" i="35" s="1"/>
  <c r="Z135" i="35"/>
  <c r="Z271" i="35" s="1"/>
  <c r="Z152" i="35"/>
  <c r="Z288" i="35" s="1"/>
  <c r="Z118" i="35"/>
  <c r="Z254" i="35" s="1"/>
  <c r="X148" i="35"/>
  <c r="X8" i="26" s="1"/>
  <c r="X42" i="26" s="1"/>
  <c r="Q26" i="30"/>
  <c r="Q27" i="30"/>
  <c r="Q25" i="30"/>
  <c r="Q23" i="30"/>
  <c r="G33" i="26"/>
  <c r="R41" i="28"/>
  <c r="R4" i="30" s="1"/>
  <c r="R51" i="26"/>
  <c r="R49" i="26"/>
  <c r="R47" i="26"/>
  <c r="R45" i="26"/>
  <c r="R32" i="26"/>
  <c r="R8" i="30" s="1"/>
  <c r="R28" i="26"/>
  <c r="R6" i="30" s="1"/>
  <c r="R30" i="26"/>
  <c r="R7" i="30" s="1"/>
  <c r="R34" i="26"/>
  <c r="R11" i="26"/>
  <c r="R15" i="30" s="1"/>
  <c r="R15" i="26"/>
  <c r="R17" i="30" s="1"/>
  <c r="R13" i="26"/>
  <c r="R16" i="30" s="1"/>
  <c r="R17" i="26"/>
  <c r="G29" i="26"/>
  <c r="G27" i="26"/>
  <c r="G31" i="26"/>
  <c r="V43" i="26"/>
  <c r="V16" i="26"/>
  <c r="W43" i="26"/>
  <c r="W16" i="26"/>
  <c r="G26" i="26"/>
  <c r="G50" i="30" s="1"/>
  <c r="Y148" i="35"/>
  <c r="Y8" i="26" s="1"/>
  <c r="X165" i="35"/>
  <c r="X9" i="26" s="1"/>
  <c r="X287" i="35"/>
  <c r="X301" i="35" s="1"/>
  <c r="Y53" i="35"/>
  <c r="Y25" i="28" s="1"/>
  <c r="G24" i="26"/>
  <c r="G48" i="30" s="1"/>
  <c r="G23" i="26"/>
  <c r="G47" i="30" s="1"/>
  <c r="G25" i="26"/>
  <c r="G49" i="30" s="1"/>
  <c r="AA39" i="35"/>
  <c r="Z38" i="35"/>
  <c r="G21" i="26"/>
  <c r="AB58" i="29"/>
  <c r="AB6" i="35" s="1"/>
  <c r="X4" i="26"/>
  <c r="W39" i="26"/>
  <c r="S132" i="29"/>
  <c r="O5" i="30"/>
  <c r="N32" i="30"/>
  <c r="Z63" i="29"/>
  <c r="Z24" i="28" s="1"/>
  <c r="AG66" i="29"/>
  <c r="AF72" i="29"/>
  <c r="AA57" i="29"/>
  <c r="AA5" i="35" s="1"/>
  <c r="Z22" i="28"/>
  <c r="R17" i="28"/>
  <c r="R13" i="30" s="1"/>
  <c r="R35" i="30" s="1"/>
  <c r="R29" i="28"/>
  <c r="R14" i="30" s="1"/>
  <c r="AB20" i="28"/>
  <c r="X28" i="28"/>
  <c r="Y19" i="28"/>
  <c r="P49" i="28"/>
  <c r="P50" i="28" s="1"/>
  <c r="T1" i="26"/>
  <c r="T136" i="29" s="1"/>
  <c r="Y131" i="35" l="1"/>
  <c r="Y7" i="26" s="1"/>
  <c r="X38" i="34"/>
  <c r="Y114" i="35"/>
  <c r="Y6" i="26" s="1"/>
  <c r="Y40" i="26" s="1"/>
  <c r="S62" i="26"/>
  <c r="G10" i="30"/>
  <c r="G58" i="26"/>
  <c r="Y36" i="34"/>
  <c r="Y33" i="34"/>
  <c r="Y34" i="34"/>
  <c r="Y37" i="34"/>
  <c r="Y35" i="34"/>
  <c r="Z32" i="34"/>
  <c r="X12" i="26"/>
  <c r="X46" i="26" s="1"/>
  <c r="T52" i="26"/>
  <c r="X19" i="30"/>
  <c r="X29" i="30" s="1"/>
  <c r="X55" i="26"/>
  <c r="X61" i="26" s="1"/>
  <c r="S28" i="30"/>
  <c r="S59" i="26"/>
  <c r="S56" i="26"/>
  <c r="T35" i="26"/>
  <c r="T9" i="30" s="1"/>
  <c r="T18" i="26"/>
  <c r="T18" i="30" s="1"/>
  <c r="R23" i="30"/>
  <c r="X14" i="26"/>
  <c r="X48" i="26" s="1"/>
  <c r="X10" i="26"/>
  <c r="X44" i="26" s="1"/>
  <c r="AA101" i="35"/>
  <c r="AA237" i="35" s="1"/>
  <c r="AA135" i="35"/>
  <c r="AA271" i="35" s="1"/>
  <c r="AA152" i="35"/>
  <c r="AA118" i="35"/>
  <c r="AA254" i="35" s="1"/>
  <c r="Z151" i="35"/>
  <c r="Z117" i="35"/>
  <c r="Z253" i="35" s="1"/>
  <c r="Z267" i="35" s="1"/>
  <c r="Z134" i="35"/>
  <c r="Z270" i="35" s="1"/>
  <c r="Z284" i="35" s="1"/>
  <c r="Z100" i="35"/>
  <c r="Z114" i="35" s="1"/>
  <c r="Z6" i="26" s="1"/>
  <c r="Z10" i="26" s="1"/>
  <c r="Z44" i="26" s="1"/>
  <c r="Z131" i="35"/>
  <c r="Z7" i="26" s="1"/>
  <c r="Z41" i="26" s="1"/>
  <c r="R26" i="30"/>
  <c r="R27" i="30"/>
  <c r="W50" i="26"/>
  <c r="R25" i="30"/>
  <c r="V50" i="26"/>
  <c r="O24" i="30"/>
  <c r="S41" i="28"/>
  <c r="S4" i="30" s="1"/>
  <c r="S51" i="26"/>
  <c r="S49" i="26"/>
  <c r="S47" i="26"/>
  <c r="S45" i="26"/>
  <c r="S30" i="26"/>
  <c r="S7" i="30" s="1"/>
  <c r="S28" i="26"/>
  <c r="S6" i="30" s="1"/>
  <c r="S32" i="26"/>
  <c r="S8" i="30" s="1"/>
  <c r="S34" i="26"/>
  <c r="S15" i="26"/>
  <c r="S17" i="30" s="1"/>
  <c r="S13" i="26"/>
  <c r="S16" i="30" s="1"/>
  <c r="S11" i="26"/>
  <c r="S15" i="30" s="1"/>
  <c r="S17" i="26"/>
  <c r="Y4" i="26"/>
  <c r="Y38" i="26" s="1"/>
  <c r="Z148" i="35"/>
  <c r="Z8" i="26" s="1"/>
  <c r="Z42" i="26" s="1"/>
  <c r="X43" i="26"/>
  <c r="X16" i="26"/>
  <c r="Y42" i="26"/>
  <c r="Y14" i="26"/>
  <c r="Y48" i="26" s="1"/>
  <c r="Z53" i="35"/>
  <c r="Z25" i="28" s="1"/>
  <c r="Y10" i="26"/>
  <c r="Y44" i="26" s="1"/>
  <c r="Y165" i="35"/>
  <c r="Y9" i="26" s="1"/>
  <c r="Y287" i="35"/>
  <c r="Y301" i="35" s="1"/>
  <c r="Y41" i="26"/>
  <c r="Y12" i="26"/>
  <c r="Y46" i="26" s="1"/>
  <c r="AA288" i="35"/>
  <c r="AA38" i="35"/>
  <c r="AB39" i="35"/>
  <c r="X38" i="26"/>
  <c r="AC58" i="29"/>
  <c r="AC6" i="35" s="1"/>
  <c r="X39" i="26"/>
  <c r="P5" i="30"/>
  <c r="P24" i="30" s="1"/>
  <c r="T132" i="29"/>
  <c r="AA63" i="29"/>
  <c r="AA24" i="28" s="1"/>
  <c r="AH66" i="29"/>
  <c r="AH72" i="29" s="1"/>
  <c r="AG72" i="29"/>
  <c r="AB57" i="29"/>
  <c r="AB5" i="35" s="1"/>
  <c r="AA22" i="28"/>
  <c r="AA32" i="34" s="1"/>
  <c r="S17" i="28"/>
  <c r="S13" i="30" s="1"/>
  <c r="S35" i="30" s="1"/>
  <c r="S29" i="28"/>
  <c r="S14" i="30" s="1"/>
  <c r="AC20" i="28"/>
  <c r="Q49" i="28"/>
  <c r="Q50" i="28" s="1"/>
  <c r="Z19" i="28"/>
  <c r="Y28" i="28"/>
  <c r="U1" i="26"/>
  <c r="U136" i="29" s="1"/>
  <c r="T28" i="30" l="1"/>
  <c r="Y38" i="34"/>
  <c r="AA34" i="34"/>
  <c r="AA37" i="34"/>
  <c r="AA35" i="34"/>
  <c r="AA36" i="34"/>
  <c r="AA33" i="34"/>
  <c r="T62" i="26"/>
  <c r="Z34" i="34"/>
  <c r="Z37" i="34"/>
  <c r="Z35" i="34"/>
  <c r="Z36" i="34"/>
  <c r="Z33" i="34"/>
  <c r="T59" i="26"/>
  <c r="T56" i="26"/>
  <c r="U35" i="26"/>
  <c r="U9" i="30" s="1"/>
  <c r="U18" i="26"/>
  <c r="U18" i="30" s="1"/>
  <c r="U52" i="26"/>
  <c r="Z236" i="35"/>
  <c r="Z250" i="35" s="1"/>
  <c r="AB101" i="35"/>
  <c r="AB237" i="35" s="1"/>
  <c r="AB152" i="35"/>
  <c r="AB288" i="35" s="1"/>
  <c r="AB118" i="35"/>
  <c r="AB254" i="35" s="1"/>
  <c r="AB135" i="35"/>
  <c r="AB271" i="35" s="1"/>
  <c r="AA151" i="35"/>
  <c r="AA117" i="35"/>
  <c r="AA253" i="35" s="1"/>
  <c r="AA267" i="35" s="1"/>
  <c r="AA134" i="35"/>
  <c r="AA270" i="35" s="1"/>
  <c r="AA284" i="35" s="1"/>
  <c r="AA100" i="35"/>
  <c r="AA114" i="35" s="1"/>
  <c r="AA6" i="26" s="1"/>
  <c r="AA40" i="26" s="1"/>
  <c r="Z12" i="26"/>
  <c r="Z46" i="26" s="1"/>
  <c r="S27" i="30"/>
  <c r="S25" i="30"/>
  <c r="S26" i="30"/>
  <c r="X50" i="26"/>
  <c r="S23" i="30"/>
  <c r="O32" i="30"/>
  <c r="Z40" i="26"/>
  <c r="T41" i="28"/>
  <c r="T4" i="30" s="1"/>
  <c r="T51" i="26"/>
  <c r="T49" i="26"/>
  <c r="T47" i="26"/>
  <c r="T45" i="26"/>
  <c r="T32" i="26"/>
  <c r="T8" i="30" s="1"/>
  <c r="T28" i="26"/>
  <c r="T6" i="30" s="1"/>
  <c r="T30" i="26"/>
  <c r="T7" i="30" s="1"/>
  <c r="T34" i="26"/>
  <c r="T13" i="26"/>
  <c r="T16" i="30" s="1"/>
  <c r="T11" i="26"/>
  <c r="T15" i="30" s="1"/>
  <c r="T15" i="26"/>
  <c r="T17" i="30" s="1"/>
  <c r="T17" i="26"/>
  <c r="Z14" i="26"/>
  <c r="Z48" i="26" s="1"/>
  <c r="Y43" i="26"/>
  <c r="Y16" i="26"/>
  <c r="Z165" i="35"/>
  <c r="Z9" i="26" s="1"/>
  <c r="Z287" i="35"/>
  <c r="Z301" i="35" s="1"/>
  <c r="AA53" i="35"/>
  <c r="AA25" i="28" s="1"/>
  <c r="AC39" i="35"/>
  <c r="AB38" i="35"/>
  <c r="AD58" i="29"/>
  <c r="AE58" i="29" s="1"/>
  <c r="AF58" i="29" s="1"/>
  <c r="AG58" i="29" s="1"/>
  <c r="AH58" i="29" s="1"/>
  <c r="Z4" i="26"/>
  <c r="Y39" i="26"/>
  <c r="U132" i="29"/>
  <c r="Q5" i="30"/>
  <c r="P32" i="30"/>
  <c r="AB63" i="29"/>
  <c r="AB24" i="28" s="1"/>
  <c r="AC57" i="29"/>
  <c r="AC5" i="35" s="1"/>
  <c r="AB22" i="28"/>
  <c r="AB32" i="34" s="1"/>
  <c r="AA19" i="28"/>
  <c r="Z28" i="28"/>
  <c r="R49" i="28"/>
  <c r="R50" i="28" s="1"/>
  <c r="T17" i="28"/>
  <c r="T13" i="30" s="1"/>
  <c r="T35" i="30" s="1"/>
  <c r="T29" i="28"/>
  <c r="T14" i="30" s="1"/>
  <c r="V1" i="26"/>
  <c r="V136" i="29" s="1"/>
  <c r="AA38" i="34" l="1"/>
  <c r="AB36" i="34"/>
  <c r="AB34" i="34"/>
  <c r="AB37" i="34"/>
  <c r="AB35" i="34"/>
  <c r="AB33" i="34"/>
  <c r="AB38" i="34" s="1"/>
  <c r="U62" i="26"/>
  <c r="Z38" i="34"/>
  <c r="Y19" i="30"/>
  <c r="Y29" i="30" s="1"/>
  <c r="Y55" i="26"/>
  <c r="Y61" i="26" s="1"/>
  <c r="U59" i="26"/>
  <c r="U56" i="26"/>
  <c r="V35" i="26"/>
  <c r="V9" i="30" s="1"/>
  <c r="V18" i="26"/>
  <c r="V18" i="30" s="1"/>
  <c r="V52" i="26"/>
  <c r="U28" i="30"/>
  <c r="AB151" i="35"/>
  <c r="AB117" i="35"/>
  <c r="AB253" i="35" s="1"/>
  <c r="AB267" i="35" s="1"/>
  <c r="AB134" i="35"/>
  <c r="AB270" i="35" s="1"/>
  <c r="AB284" i="35" s="1"/>
  <c r="AB100" i="35"/>
  <c r="AB236" i="35" s="1"/>
  <c r="AB250" i="35" s="1"/>
  <c r="AA148" i="35"/>
  <c r="AA8" i="26" s="1"/>
  <c r="AA42" i="26" s="1"/>
  <c r="AA236" i="35"/>
  <c r="AA250" i="35" s="1"/>
  <c r="AC101" i="35"/>
  <c r="AC237" i="35" s="1"/>
  <c r="G237" i="35" s="1"/>
  <c r="AC152" i="35"/>
  <c r="AC118" i="35"/>
  <c r="AC135" i="35"/>
  <c r="AC271" i="35" s="1"/>
  <c r="G271" i="35" s="1"/>
  <c r="AA131" i="35"/>
  <c r="AA7" i="26" s="1"/>
  <c r="AA41" i="26" s="1"/>
  <c r="T27" i="30"/>
  <c r="AA10" i="26"/>
  <c r="AA44" i="26" s="1"/>
  <c r="T26" i="30"/>
  <c r="T25" i="30"/>
  <c r="Y50" i="26"/>
  <c r="T23" i="30"/>
  <c r="Q24" i="30"/>
  <c r="Q32" i="30" s="1"/>
  <c r="U41" i="28"/>
  <c r="U4" i="30" s="1"/>
  <c r="U51" i="26"/>
  <c r="U49" i="26"/>
  <c r="U47" i="26"/>
  <c r="U45" i="26"/>
  <c r="U28" i="26"/>
  <c r="U6" i="30" s="1"/>
  <c r="U32" i="26"/>
  <c r="U8" i="30" s="1"/>
  <c r="U30" i="26"/>
  <c r="U7" i="30" s="1"/>
  <c r="U34" i="26"/>
  <c r="U15" i="26"/>
  <c r="U17" i="30" s="1"/>
  <c r="U11" i="26"/>
  <c r="U15" i="30" s="1"/>
  <c r="U13" i="26"/>
  <c r="U16" i="30" s="1"/>
  <c r="U17" i="26"/>
  <c r="Z43" i="26"/>
  <c r="Z16" i="26"/>
  <c r="G39" i="35"/>
  <c r="AA287" i="35"/>
  <c r="AA301" i="35" s="1"/>
  <c r="AA165" i="35"/>
  <c r="AA9" i="26" s="1"/>
  <c r="AB53" i="35"/>
  <c r="AB25" i="28" s="1"/>
  <c r="AC38" i="35"/>
  <c r="Z38" i="26"/>
  <c r="AA4" i="26"/>
  <c r="Z39" i="26"/>
  <c r="R5" i="30"/>
  <c r="V132" i="29"/>
  <c r="AC63" i="29"/>
  <c r="AC24" i="28" s="1"/>
  <c r="F24" i="28" s="1"/>
  <c r="AD57" i="29"/>
  <c r="AD63" i="29" s="1"/>
  <c r="AC22" i="28"/>
  <c r="AC32" i="34" s="1"/>
  <c r="U17" i="28"/>
  <c r="U13" i="30" s="1"/>
  <c r="U35" i="30" s="1"/>
  <c r="U29" i="28"/>
  <c r="U14" i="30" s="1"/>
  <c r="S49" i="28"/>
  <c r="S50" i="28" s="1"/>
  <c r="AB19" i="28"/>
  <c r="AA28" i="28"/>
  <c r="W1" i="26"/>
  <c r="W136" i="29" s="1"/>
  <c r="G101" i="35" l="1"/>
  <c r="AB148" i="35"/>
  <c r="AB8" i="26" s="1"/>
  <c r="AB14" i="26" s="1"/>
  <c r="AB48" i="26" s="1"/>
  <c r="Z55" i="26"/>
  <c r="Z61" i="26" s="1"/>
  <c r="Z19" i="30"/>
  <c r="Z29" i="30" s="1"/>
  <c r="AB19" i="30"/>
  <c r="AB29" i="30" s="1"/>
  <c r="AB55" i="26"/>
  <c r="AB61" i="26" s="1"/>
  <c r="V62" i="26"/>
  <c r="AC37" i="34"/>
  <c r="AC35" i="34"/>
  <c r="AC34" i="34"/>
  <c r="AC33" i="34"/>
  <c r="AC36" i="34"/>
  <c r="G32" i="34"/>
  <c r="AA55" i="26"/>
  <c r="AA61" i="26" s="1"/>
  <c r="AA19" i="30"/>
  <c r="AA29" i="30" s="1"/>
  <c r="V28" i="30"/>
  <c r="V59" i="26"/>
  <c r="V56" i="26"/>
  <c r="W35" i="26"/>
  <c r="W9" i="30" s="1"/>
  <c r="W18" i="26"/>
  <c r="W18" i="30" s="1"/>
  <c r="W52" i="26"/>
  <c r="AA12" i="26"/>
  <c r="AA46" i="26" s="1"/>
  <c r="G118" i="35"/>
  <c r="AC254" i="35"/>
  <c r="G254" i="35" s="1"/>
  <c r="AA14" i="26"/>
  <c r="AA48" i="26" s="1"/>
  <c r="G135" i="35"/>
  <c r="AC151" i="35"/>
  <c r="AC287" i="35" s="1"/>
  <c r="AC117" i="35"/>
  <c r="AC134" i="35"/>
  <c r="AC270" i="35" s="1"/>
  <c r="G270" i="35" s="1"/>
  <c r="AC100" i="35"/>
  <c r="AC114" i="35" s="1"/>
  <c r="AB131" i="35"/>
  <c r="AB7" i="26" s="1"/>
  <c r="AB41" i="26" s="1"/>
  <c r="AB114" i="35"/>
  <c r="AB6" i="26" s="1"/>
  <c r="AC236" i="35"/>
  <c r="AC250" i="35" s="1"/>
  <c r="G250" i="35" s="1"/>
  <c r="U26" i="30"/>
  <c r="Z50" i="26"/>
  <c r="U27" i="30"/>
  <c r="U25" i="30"/>
  <c r="U23" i="30"/>
  <c r="R24" i="30"/>
  <c r="R32" i="30" s="1"/>
  <c r="V41" i="28"/>
  <c r="V4" i="30" s="1"/>
  <c r="V51" i="26"/>
  <c r="V49" i="26"/>
  <c r="V47" i="26"/>
  <c r="V45" i="26"/>
  <c r="V32" i="26"/>
  <c r="V8" i="30" s="1"/>
  <c r="V28" i="26"/>
  <c r="V6" i="30" s="1"/>
  <c r="V30" i="26"/>
  <c r="V7" i="30" s="1"/>
  <c r="V34" i="26"/>
  <c r="V13" i="26"/>
  <c r="V16" i="30" s="1"/>
  <c r="V11" i="26"/>
  <c r="V15" i="30" s="1"/>
  <c r="V15" i="26"/>
  <c r="V17" i="30" s="1"/>
  <c r="V17" i="26"/>
  <c r="AB42" i="26"/>
  <c r="AA43" i="26"/>
  <c r="AA16" i="26"/>
  <c r="AB4" i="26"/>
  <c r="AB38" i="26" s="1"/>
  <c r="AC165" i="35"/>
  <c r="G151" i="35"/>
  <c r="AB287" i="35"/>
  <c r="AB301" i="35" s="1"/>
  <c r="AB165" i="35"/>
  <c r="AB9" i="26" s="1"/>
  <c r="AC288" i="35"/>
  <c r="G288" i="35" s="1"/>
  <c r="G152" i="35"/>
  <c r="AC53" i="35"/>
  <c r="G38" i="35"/>
  <c r="G100" i="35"/>
  <c r="AC148" i="35"/>
  <c r="G148" i="35" s="1"/>
  <c r="AA38" i="26"/>
  <c r="AA39" i="26"/>
  <c r="W132" i="29"/>
  <c r="S5" i="30"/>
  <c r="S24" i="30" s="1"/>
  <c r="AE57" i="29"/>
  <c r="AE63" i="29" s="1"/>
  <c r="V17" i="28"/>
  <c r="V13" i="30" s="1"/>
  <c r="V35" i="30" s="1"/>
  <c r="V29" i="28"/>
  <c r="V14" i="30" s="1"/>
  <c r="AB28" i="28"/>
  <c r="AC19" i="28"/>
  <c r="T49" i="28"/>
  <c r="T50" i="28" s="1"/>
  <c r="X1" i="26"/>
  <c r="X136" i="29" s="1"/>
  <c r="AC38" i="34" l="1"/>
  <c r="W62" i="26"/>
  <c r="G53" i="35"/>
  <c r="G75" i="35" s="1"/>
  <c r="AC25" i="28"/>
  <c r="F25" i="28" s="1"/>
  <c r="F55" i="28" s="1"/>
  <c r="W59" i="26"/>
  <c r="W56" i="26"/>
  <c r="W28" i="30"/>
  <c r="X35" i="26"/>
  <c r="X9" i="30" s="1"/>
  <c r="X18" i="26"/>
  <c r="X18" i="30" s="1"/>
  <c r="X52" i="26"/>
  <c r="AC284" i="35"/>
  <c r="G284" i="35" s="1"/>
  <c r="G134" i="35"/>
  <c r="G236" i="35"/>
  <c r="AB10" i="26"/>
  <c r="AB44" i="26" s="1"/>
  <c r="AB40" i="26"/>
  <c r="AB12" i="26"/>
  <c r="AB46" i="26" s="1"/>
  <c r="G117" i="35"/>
  <c r="AC253" i="35"/>
  <c r="AC131" i="35"/>
  <c r="AC7" i="26" s="1"/>
  <c r="AC12" i="26" s="1"/>
  <c r="AC46" i="26" s="1"/>
  <c r="AA50" i="26"/>
  <c r="V26" i="30"/>
  <c r="V25" i="30"/>
  <c r="V27" i="30"/>
  <c r="V23" i="30"/>
  <c r="W41" i="28"/>
  <c r="W4" i="30" s="1"/>
  <c r="W49" i="26"/>
  <c r="W47" i="26"/>
  <c r="W45" i="26"/>
  <c r="W51" i="26"/>
  <c r="W30" i="26"/>
  <c r="W7" i="30" s="1"/>
  <c r="W28" i="26"/>
  <c r="W6" i="30" s="1"/>
  <c r="W32" i="26"/>
  <c r="W8" i="30" s="1"/>
  <c r="W34" i="26"/>
  <c r="W13" i="26"/>
  <c r="W16" i="30" s="1"/>
  <c r="W11" i="26"/>
  <c r="W15" i="30" s="1"/>
  <c r="W15" i="26"/>
  <c r="W17" i="30" s="1"/>
  <c r="W17" i="26"/>
  <c r="AB43" i="26"/>
  <c r="AB16" i="26"/>
  <c r="AC301" i="35"/>
  <c r="G301" i="35" s="1"/>
  <c r="G287" i="35"/>
  <c r="AC9" i="26"/>
  <c r="G165" i="35"/>
  <c r="G131" i="35"/>
  <c r="AC8" i="26"/>
  <c r="AC14" i="26" s="1"/>
  <c r="AC48" i="26" s="1"/>
  <c r="G48" i="26" s="1"/>
  <c r="G114" i="35"/>
  <c r="AC6" i="26"/>
  <c r="AC10" i="26" s="1"/>
  <c r="AC44" i="26" s="1"/>
  <c r="AC4" i="26"/>
  <c r="AB39" i="26"/>
  <c r="S32" i="30"/>
  <c r="X132" i="29"/>
  <c r="T5" i="30"/>
  <c r="AF57" i="29"/>
  <c r="AF63" i="29" s="1"/>
  <c r="W17" i="28"/>
  <c r="W13" i="30" s="1"/>
  <c r="W35" i="30" s="1"/>
  <c r="W29" i="28"/>
  <c r="W14" i="30" s="1"/>
  <c r="U49" i="28"/>
  <c r="U50" i="28" s="1"/>
  <c r="Y1" i="26"/>
  <c r="Y136" i="29" s="1"/>
  <c r="X28" i="30" l="1"/>
  <c r="X62" i="26"/>
  <c r="AC19" i="30"/>
  <c r="AC55" i="26"/>
  <c r="X56" i="26"/>
  <c r="X59" i="26"/>
  <c r="Y35" i="26"/>
  <c r="Y9" i="30" s="1"/>
  <c r="Y18" i="26"/>
  <c r="Y18" i="30" s="1"/>
  <c r="Y52" i="26"/>
  <c r="G46" i="26"/>
  <c r="G44" i="26"/>
  <c r="AC267" i="35"/>
  <c r="G267" i="35" s="1"/>
  <c r="G253" i="35"/>
  <c r="W27" i="30"/>
  <c r="W25" i="30"/>
  <c r="AB50" i="26"/>
  <c r="W26" i="30"/>
  <c r="W23" i="30"/>
  <c r="T24" i="30"/>
  <c r="T32" i="30" s="1"/>
  <c r="X41" i="28"/>
  <c r="X4" i="30" s="1"/>
  <c r="X49" i="26"/>
  <c r="X47" i="26"/>
  <c r="X45" i="26"/>
  <c r="X51" i="26"/>
  <c r="X32" i="26"/>
  <c r="X8" i="30" s="1"/>
  <c r="X30" i="26"/>
  <c r="X7" i="30" s="1"/>
  <c r="X28" i="26"/>
  <c r="X6" i="30" s="1"/>
  <c r="X34" i="26"/>
  <c r="X11" i="26"/>
  <c r="X15" i="30" s="1"/>
  <c r="X15" i="26"/>
  <c r="X17" i="30" s="1"/>
  <c r="X13" i="26"/>
  <c r="X16" i="30" s="1"/>
  <c r="X17" i="26"/>
  <c r="G12" i="26"/>
  <c r="G10" i="26"/>
  <c r="G14" i="26"/>
  <c r="AC16" i="26"/>
  <c r="G9" i="26"/>
  <c r="I50" i="30" s="1"/>
  <c r="J50" i="30" s="1"/>
  <c r="AC43" i="26"/>
  <c r="G43" i="26" s="1"/>
  <c r="G8" i="26"/>
  <c r="I49" i="30" s="1"/>
  <c r="J49" i="30" s="1"/>
  <c r="AC42" i="26"/>
  <c r="G42" i="26" s="1"/>
  <c r="G6" i="26"/>
  <c r="I47" i="30" s="1"/>
  <c r="J47" i="30" s="1"/>
  <c r="AC40" i="26"/>
  <c r="G7" i="26"/>
  <c r="I48" i="30" s="1"/>
  <c r="J48" i="30" s="1"/>
  <c r="AC41" i="26"/>
  <c r="G41" i="26" s="1"/>
  <c r="AC38" i="26"/>
  <c r="G38" i="26" s="1"/>
  <c r="G4" i="26"/>
  <c r="AC28" i="28"/>
  <c r="AC39" i="26"/>
  <c r="G39" i="26" s="1"/>
  <c r="U5" i="30"/>
  <c r="Y132" i="29"/>
  <c r="AG57" i="29"/>
  <c r="AG63" i="29" s="1"/>
  <c r="V49" i="28"/>
  <c r="V50" i="28" s="1"/>
  <c r="X17" i="28"/>
  <c r="X13" i="30" s="1"/>
  <c r="X35" i="30" s="1"/>
  <c r="X29" i="28"/>
  <c r="X14" i="30" s="1"/>
  <c r="F20" i="28"/>
  <c r="Z1" i="26"/>
  <c r="Z136" i="29" s="1"/>
  <c r="Y28" i="30" l="1"/>
  <c r="G55" i="26"/>
  <c r="AC61" i="26"/>
  <c r="G61" i="26" s="1"/>
  <c r="G19" i="30"/>
  <c r="AC29" i="30"/>
  <c r="G29" i="30" s="1"/>
  <c r="Y62" i="26"/>
  <c r="Y56" i="26"/>
  <c r="Y59" i="26"/>
  <c r="Z35" i="26"/>
  <c r="Z9" i="30" s="1"/>
  <c r="Z18" i="26"/>
  <c r="Z18" i="30" s="1"/>
  <c r="Z52" i="26"/>
  <c r="X25" i="30"/>
  <c r="AC50" i="26"/>
  <c r="G50" i="26" s="1"/>
  <c r="X26" i="30"/>
  <c r="X27" i="30"/>
  <c r="U24" i="30"/>
  <c r="U32" i="30" s="1"/>
  <c r="X23" i="30"/>
  <c r="G16" i="26"/>
  <c r="Y41" i="28"/>
  <c r="Y4" i="30" s="1"/>
  <c r="Y47" i="26"/>
  <c r="Y45" i="26"/>
  <c r="Y51" i="26"/>
  <c r="Y49" i="26"/>
  <c r="Y32" i="26"/>
  <c r="Y8" i="30" s="1"/>
  <c r="Y28" i="26"/>
  <c r="Y6" i="30" s="1"/>
  <c r="Y30" i="26"/>
  <c r="Y7" i="30" s="1"/>
  <c r="Y34" i="26"/>
  <c r="Y13" i="26"/>
  <c r="Y16" i="30" s="1"/>
  <c r="Y11" i="26"/>
  <c r="Y15" i="30" s="1"/>
  <c r="Y15" i="26"/>
  <c r="Y17" i="30" s="1"/>
  <c r="Y17" i="26"/>
  <c r="G40" i="26"/>
  <c r="V5" i="30"/>
  <c r="V24" i="30" s="1"/>
  <c r="Z132" i="29"/>
  <c r="AH57" i="29"/>
  <c r="AH63" i="29" s="1"/>
  <c r="F22" i="28"/>
  <c r="W49" i="28"/>
  <c r="W50" i="28" s="1"/>
  <c r="Y17" i="28"/>
  <c r="Y13" i="30" s="1"/>
  <c r="Y35" i="30" s="1"/>
  <c r="Y29" i="28"/>
  <c r="Y14" i="30" s="1"/>
  <c r="F43" i="28"/>
  <c r="AA1" i="26"/>
  <c r="AA136" i="29" s="1"/>
  <c r="Z62" i="26" l="1"/>
  <c r="Z56" i="26"/>
  <c r="Z59" i="26"/>
  <c r="AA35" i="26"/>
  <c r="AA9" i="30" s="1"/>
  <c r="AA18" i="26"/>
  <c r="AA18" i="30" s="1"/>
  <c r="AA52" i="26"/>
  <c r="Z28" i="30"/>
  <c r="Y27" i="30"/>
  <c r="Y25" i="30"/>
  <c r="Y26" i="30"/>
  <c r="Y23" i="30"/>
  <c r="Z41" i="28"/>
  <c r="Z4" i="30" s="1"/>
  <c r="Z47" i="26"/>
  <c r="Z45" i="26"/>
  <c r="Z51" i="26"/>
  <c r="Z49" i="26"/>
  <c r="Z28" i="26"/>
  <c r="Z6" i="30" s="1"/>
  <c r="Z30" i="26"/>
  <c r="Z7" i="30" s="1"/>
  <c r="Z32" i="26"/>
  <c r="Z8" i="30" s="1"/>
  <c r="Z34" i="26"/>
  <c r="Z11" i="26"/>
  <c r="Z15" i="30" s="1"/>
  <c r="Z13" i="26"/>
  <c r="Z16" i="30" s="1"/>
  <c r="Z15" i="26"/>
  <c r="Z17" i="30" s="1"/>
  <c r="Z17" i="26"/>
  <c r="AA132" i="29"/>
  <c r="W5" i="30"/>
  <c r="V32" i="30"/>
  <c r="X49" i="28"/>
  <c r="X50" i="28" s="1"/>
  <c r="Z17" i="28"/>
  <c r="Z13" i="30" s="1"/>
  <c r="Z35" i="30" s="1"/>
  <c r="Z29" i="28"/>
  <c r="Z14" i="30" s="1"/>
  <c r="AB1" i="26"/>
  <c r="AB136" i="29" s="1"/>
  <c r="AA28" i="30" l="1"/>
  <c r="AA62" i="26"/>
  <c r="AA59" i="26"/>
  <c r="AA56" i="26"/>
  <c r="AB35" i="26"/>
  <c r="AB9" i="30" s="1"/>
  <c r="AB18" i="26"/>
  <c r="AB18" i="30" s="1"/>
  <c r="AB52" i="26"/>
  <c r="Z25" i="30"/>
  <c r="Z27" i="30"/>
  <c r="Z26" i="30"/>
  <c r="W24" i="30"/>
  <c r="W32" i="30" s="1"/>
  <c r="Z23" i="30"/>
  <c r="AA41" i="28"/>
  <c r="AA4" i="30" s="1"/>
  <c r="AA45" i="26"/>
  <c r="AA51" i="26"/>
  <c r="AA49" i="26"/>
  <c r="AA47" i="26"/>
  <c r="AA32" i="26"/>
  <c r="AA8" i="30" s="1"/>
  <c r="AA30" i="26"/>
  <c r="AA7" i="30" s="1"/>
  <c r="AA28" i="26"/>
  <c r="AA6" i="30" s="1"/>
  <c r="AA34" i="26"/>
  <c r="AA15" i="26"/>
  <c r="AA17" i="30" s="1"/>
  <c r="AA11" i="26"/>
  <c r="AA15" i="30" s="1"/>
  <c r="AA13" i="26"/>
  <c r="AA16" i="30" s="1"/>
  <c r="AA17" i="26"/>
  <c r="X5" i="30"/>
  <c r="X24" i="30" s="1"/>
  <c r="AB132" i="29"/>
  <c r="Y49" i="28"/>
  <c r="Y50" i="28" s="1"/>
  <c r="AA17" i="28"/>
  <c r="AA13" i="30" s="1"/>
  <c r="AA35" i="30" s="1"/>
  <c r="AA29" i="28"/>
  <c r="AA14" i="30" s="1"/>
  <c r="F19" i="28"/>
  <c r="AC1" i="26"/>
  <c r="AA23" i="30" l="1"/>
  <c r="AB62" i="26"/>
  <c r="AB59" i="26"/>
  <c r="AB56" i="26"/>
  <c r="AB28" i="30"/>
  <c r="AA27" i="30"/>
  <c r="AA25" i="30"/>
  <c r="AA26" i="30"/>
  <c r="AC132" i="29"/>
  <c r="AC136" i="29"/>
  <c r="AB41" i="28"/>
  <c r="AB4" i="30" s="1"/>
  <c r="AB45" i="26"/>
  <c r="AB47" i="26"/>
  <c r="AB51" i="26"/>
  <c r="AB49" i="26"/>
  <c r="AB32" i="26"/>
  <c r="AB8" i="30" s="1"/>
  <c r="AB28" i="26"/>
  <c r="AB6" i="30" s="1"/>
  <c r="AB30" i="26"/>
  <c r="AB7" i="30" s="1"/>
  <c r="AB34" i="26"/>
  <c r="AB15" i="26"/>
  <c r="AB17" i="30" s="1"/>
  <c r="AB11" i="26"/>
  <c r="AB15" i="30" s="1"/>
  <c r="AB13" i="26"/>
  <c r="AB16" i="30" s="1"/>
  <c r="AB17" i="26"/>
  <c r="Y5" i="30"/>
  <c r="X32" i="30"/>
  <c r="F28" i="28"/>
  <c r="Z49" i="28"/>
  <c r="Z50" i="28" s="1"/>
  <c r="AB17" i="28"/>
  <c r="AB13" i="30" s="1"/>
  <c r="AB35" i="30" s="1"/>
  <c r="AB29" i="28"/>
  <c r="AB14" i="30" s="1"/>
  <c r="AD1" i="26"/>
  <c r="AC41" i="28" l="1"/>
  <c r="AC4" i="30" s="1"/>
  <c r="AC51" i="26"/>
  <c r="AC11" i="26"/>
  <c r="AC15" i="30" s="1"/>
  <c r="G15" i="30" s="1"/>
  <c r="AC62" i="26"/>
  <c r="AB23" i="30"/>
  <c r="AC15" i="26"/>
  <c r="AC17" i="30" s="1"/>
  <c r="AC49" i="26"/>
  <c r="AC59" i="26"/>
  <c r="AC56" i="26"/>
  <c r="AC17" i="26"/>
  <c r="AC32" i="26"/>
  <c r="AC8" i="30" s="1"/>
  <c r="AC13" i="26"/>
  <c r="AC16" i="30" s="1"/>
  <c r="G16" i="30" s="1"/>
  <c r="AC35" i="26"/>
  <c r="AC9" i="30" s="1"/>
  <c r="AC18" i="26"/>
  <c r="AC52" i="26"/>
  <c r="AC28" i="26"/>
  <c r="AC6" i="30" s="1"/>
  <c r="G6" i="30" s="1"/>
  <c r="AC30" i="26"/>
  <c r="AC7" i="30" s="1"/>
  <c r="AC34" i="26"/>
  <c r="AC45" i="26"/>
  <c r="AC47" i="26"/>
  <c r="AB27" i="30"/>
  <c r="G17" i="30"/>
  <c r="AB25" i="30"/>
  <c r="AB26" i="30"/>
  <c r="Y24" i="30"/>
  <c r="Y32" i="30" s="1"/>
  <c r="G4" i="30"/>
  <c r="AD132" i="29"/>
  <c r="AD136" i="29"/>
  <c r="AD17" i="26"/>
  <c r="AD13" i="26"/>
  <c r="AD34" i="26"/>
  <c r="AD11" i="26"/>
  <c r="Z5" i="30"/>
  <c r="Z24" i="30" s="1"/>
  <c r="AA49" i="28"/>
  <c r="AA50" i="28" s="1"/>
  <c r="AC17" i="28"/>
  <c r="AC13" i="30" s="1"/>
  <c r="AC29" i="28"/>
  <c r="AC14" i="30" s="1"/>
  <c r="G14" i="30" s="1"/>
  <c r="AE1" i="26"/>
  <c r="AC23" i="30" l="1"/>
  <c r="G23" i="30" s="1"/>
  <c r="AC25" i="30"/>
  <c r="AC27" i="30"/>
  <c r="G27" i="30" s="1"/>
  <c r="AD15" i="26"/>
  <c r="AD62" i="26"/>
  <c r="AD47" i="26"/>
  <c r="AD59" i="26"/>
  <c r="AD56" i="26"/>
  <c r="AD32" i="26"/>
  <c r="AD30" i="26"/>
  <c r="G8" i="30"/>
  <c r="AC26" i="30"/>
  <c r="AD49" i="26"/>
  <c r="AD51" i="26"/>
  <c r="AD45" i="26"/>
  <c r="G7" i="30"/>
  <c r="AC18" i="30"/>
  <c r="G18" i="30" s="1"/>
  <c r="AD18" i="26"/>
  <c r="AD52" i="26"/>
  <c r="AD35" i="26"/>
  <c r="G9" i="30"/>
  <c r="AC28" i="30"/>
  <c r="G28" i="30" s="1"/>
  <c r="G25" i="30"/>
  <c r="G26" i="30"/>
  <c r="AD28" i="26"/>
  <c r="AE132" i="29"/>
  <c r="AE136" i="29"/>
  <c r="AA5" i="30"/>
  <c r="Z32" i="30"/>
  <c r="AC35" i="30"/>
  <c r="G13" i="30"/>
  <c r="AB49" i="28"/>
  <c r="AB50" i="28" s="1"/>
  <c r="AF1" i="26"/>
  <c r="AF136" i="29" s="1"/>
  <c r="AE51" i="26" l="1"/>
  <c r="AE62" i="26"/>
  <c r="AE28" i="26"/>
  <c r="AE30" i="26"/>
  <c r="AE32" i="26"/>
  <c r="AE49" i="26"/>
  <c r="AE15" i="26"/>
  <c r="AE59" i="26"/>
  <c r="AE56" i="26"/>
  <c r="AE47" i="26"/>
  <c r="AE11" i="26"/>
  <c r="AE45" i="26"/>
  <c r="AE34" i="26"/>
  <c r="AE18" i="26"/>
  <c r="AE52" i="26"/>
  <c r="AE35" i="26"/>
  <c r="AF52" i="26"/>
  <c r="AF18" i="26"/>
  <c r="AF35" i="26"/>
  <c r="AE13" i="26"/>
  <c r="AA24" i="30"/>
  <c r="AA32" i="30" s="1"/>
  <c r="AE17" i="26"/>
  <c r="G35" i="30"/>
  <c r="AB5" i="30"/>
  <c r="AB24" i="30" s="1"/>
  <c r="F41" i="28"/>
  <c r="AF132" i="29"/>
  <c r="AC49" i="28"/>
  <c r="AC50" i="28" s="1"/>
  <c r="AG1" i="26"/>
  <c r="AF62" i="26" l="1"/>
  <c r="AF59" i="26"/>
  <c r="AF56" i="26"/>
  <c r="AG132" i="29"/>
  <c r="AG136" i="29"/>
  <c r="AG49" i="26"/>
  <c r="AG30" i="26"/>
  <c r="AG47" i="26"/>
  <c r="AG28" i="26"/>
  <c r="AG45" i="26"/>
  <c r="AF34" i="26"/>
  <c r="AF11" i="26"/>
  <c r="AF17" i="26"/>
  <c r="AF51" i="26"/>
  <c r="AF32" i="26"/>
  <c r="AF49" i="26"/>
  <c r="AF30" i="26"/>
  <c r="AF47" i="26"/>
  <c r="AF28" i="26"/>
  <c r="AF45" i="26"/>
  <c r="AF15" i="26"/>
  <c r="AF13" i="26"/>
  <c r="AB32" i="30"/>
  <c r="AC5" i="30"/>
  <c r="AC24" i="30" s="1"/>
  <c r="G24" i="30" s="1"/>
  <c r="G32" i="30" s="1"/>
  <c r="AH1" i="26"/>
  <c r="AG51" i="26" l="1"/>
  <c r="AG17" i="26"/>
  <c r="AG62" i="26"/>
  <c r="AG32" i="26"/>
  <c r="AG34" i="26"/>
  <c r="AG11" i="26"/>
  <c r="AG13" i="26"/>
  <c r="AG59" i="26"/>
  <c r="AG56" i="26"/>
  <c r="AG15" i="26"/>
  <c r="AG35" i="26"/>
  <c r="AG52" i="26"/>
  <c r="AG18" i="26"/>
  <c r="AH132" i="29"/>
  <c r="AH136" i="29"/>
  <c r="G5" i="30"/>
  <c r="F29" i="28"/>
  <c r="F17" i="28"/>
  <c r="AH32" i="26" l="1"/>
  <c r="G32" i="26" s="1"/>
  <c r="AH62" i="26"/>
  <c r="G62" i="26" s="1"/>
  <c r="AH47" i="26"/>
  <c r="G47" i="26" s="1"/>
  <c r="AH34" i="26"/>
  <c r="G34" i="26" s="1"/>
  <c r="AH28" i="26"/>
  <c r="G28" i="26" s="1"/>
  <c r="AH45" i="26"/>
  <c r="G45" i="26" s="1"/>
  <c r="AH59" i="26"/>
  <c r="G59" i="26" s="1"/>
  <c r="AH56" i="26"/>
  <c r="G56" i="26" s="1"/>
  <c r="AH30" i="26"/>
  <c r="G30" i="26" s="1"/>
  <c r="AH49" i="26"/>
  <c r="G49" i="26" s="1"/>
  <c r="AH51" i="26"/>
  <c r="G51" i="26" s="1"/>
  <c r="AH52" i="26"/>
  <c r="G52" i="26" s="1"/>
  <c r="AH35" i="26"/>
  <c r="G35" i="26" s="1"/>
  <c r="AH18" i="26"/>
  <c r="G18" i="26" s="1"/>
  <c r="AH11" i="26"/>
  <c r="G11" i="26" s="1"/>
  <c r="AH13" i="26"/>
  <c r="G13" i="26" s="1"/>
  <c r="AH17" i="26"/>
  <c r="G17" i="26" s="1"/>
  <c r="AH15" i="26"/>
  <c r="G15" i="26" s="1"/>
  <c r="AC32" i="30"/>
  <c r="G39" i="30" l="1"/>
  <c r="F44" i="28"/>
  <c r="G38" i="30" l="1"/>
  <c r="F49" i="28"/>
  <c r="F50" i="28" l="1"/>
  <c r="F52" i="28" s="1"/>
  <c r="F54" i="28" s="1"/>
</calcChain>
</file>

<file path=xl/sharedStrings.xml><?xml version="1.0" encoding="utf-8"?>
<sst xmlns="http://schemas.openxmlformats.org/spreadsheetml/2006/main" count="1005" uniqueCount="493">
  <si>
    <t>On-Dock Rail Improvements</t>
  </si>
  <si>
    <t>Category</t>
  </si>
  <si>
    <t>Value</t>
  </si>
  <si>
    <t>Units</t>
  </si>
  <si>
    <t>Notes</t>
  </si>
  <si>
    <t>Source</t>
  </si>
  <si>
    <t>TEU</t>
  </si>
  <si>
    <t>Total</t>
  </si>
  <si>
    <t>Project</t>
  </si>
  <si>
    <t>TOTAL</t>
  </si>
  <si>
    <t xml:space="preserve">  </t>
  </si>
  <si>
    <t>miles</t>
  </si>
  <si>
    <t>y</t>
  </si>
  <si>
    <t>$</t>
  </si>
  <si>
    <t>N/A</t>
  </si>
  <si>
    <t>Net Present Value</t>
  </si>
  <si>
    <t>Benefits and costs</t>
  </si>
  <si>
    <t>Monetized</t>
  </si>
  <si>
    <t>Based on other metrics</t>
  </si>
  <si>
    <t>Qualitative</t>
  </si>
  <si>
    <t>Linking project components to benefits</t>
  </si>
  <si>
    <t>Surfacing, Paving, reinforcement</t>
  </si>
  <si>
    <t>Stormwater Treatment</t>
  </si>
  <si>
    <t>Upsizing Electric Reefer Plug Capacity to 1400</t>
  </si>
  <si>
    <t>Access Improvements &amp; ITS Upgrades</t>
  </si>
  <si>
    <t>Cargo Handling Equipment</t>
  </si>
  <si>
    <t>Cargo benefits</t>
  </si>
  <si>
    <t>Environmental</t>
  </si>
  <si>
    <t>n</t>
  </si>
  <si>
    <t>Emissions reduction, direct</t>
  </si>
  <si>
    <t>Emissions reduction, indirect</t>
  </si>
  <si>
    <t>Baseline Description</t>
  </si>
  <si>
    <t>2014 to 2018: no activity on site</t>
  </si>
  <si>
    <t>2019-2023: &lt;5% capacity</t>
  </si>
  <si>
    <t>2023-2030: ramps up to 30% of capacity of existing site</t>
  </si>
  <si>
    <t>2030 and beyond - steady at ~30% capacity of existing site</t>
  </si>
  <si>
    <t>Inflation adjustments</t>
  </si>
  <si>
    <t>We apply suggested inflation rates per BCA guidance</t>
  </si>
  <si>
    <t>All money expressed in [2017-dollars</t>
  </si>
  <si>
    <t>Discounting</t>
  </si>
  <si>
    <t>Discount rate applied to the analysis</t>
  </si>
  <si>
    <t>Analysis Period</t>
  </si>
  <si>
    <t>Start</t>
  </si>
  <si>
    <t>Completion of construction</t>
  </si>
  <si>
    <t>Additional years</t>
  </si>
  <si>
    <t>Notes:</t>
  </si>
  <si>
    <t>Replacement rates for equipment are included in O&amp;M calculations</t>
  </si>
  <si>
    <t>Scope</t>
  </si>
  <si>
    <t>Project Components</t>
  </si>
  <si>
    <t>Ship-to-Shore (STS) Cranes</t>
  </si>
  <si>
    <t>Berth Depth (MLLW) updates</t>
  </si>
  <si>
    <t>Electrical Capacity Improvements</t>
  </si>
  <si>
    <r>
      <t xml:space="preserve">Dock Rehabilitation </t>
    </r>
    <r>
      <rPr>
        <sz val="8"/>
        <color theme="1"/>
        <rFont val="Times New Roman"/>
        <family val="1"/>
      </rPr>
      <t> </t>
    </r>
  </si>
  <si>
    <t>STS Crane Rail</t>
  </si>
  <si>
    <t>Other associated T-5 Modernization components and costs that are not part of the grant; these elements are needed for T-5 operation.</t>
  </si>
  <si>
    <t>Benefits Categories Defined by DOT</t>
  </si>
  <si>
    <t>Value of Travel Time Savings</t>
  </si>
  <si>
    <t>Other Associated T-5 Modernization</t>
  </si>
  <si>
    <t>periodic</t>
  </si>
  <si>
    <t>Table A-3</t>
  </si>
  <si>
    <t>Vehicle operating cost savings</t>
  </si>
  <si>
    <t>Safety Benefits</t>
  </si>
  <si>
    <t>Emissions Reduction</t>
  </si>
  <si>
    <t>Table A-6, A-7</t>
  </si>
  <si>
    <t>Modal Diversion</t>
  </si>
  <si>
    <t>Work Zone Impacts</t>
  </si>
  <si>
    <t>avoids future</t>
  </si>
  <si>
    <t>updates occur with T-5 under &lt;5% operation</t>
  </si>
  <si>
    <t>Resilience</t>
  </si>
  <si>
    <t>qualitative</t>
  </si>
  <si>
    <t>Noise</t>
  </si>
  <si>
    <t>no change</t>
  </si>
  <si>
    <t>Loss of Emergency Services</t>
  </si>
  <si>
    <t>Quality of Life</t>
  </si>
  <si>
    <t>Property Value Increases</t>
  </si>
  <si>
    <t>Costs</t>
  </si>
  <si>
    <t>Capital</t>
  </si>
  <si>
    <t>O&amp;M</t>
  </si>
  <si>
    <t>Residual Value</t>
  </si>
  <si>
    <t>Costs Categories Defined by DOT</t>
  </si>
  <si>
    <t>NPV Calculation</t>
  </si>
  <si>
    <t>BCR Calculation</t>
  </si>
  <si>
    <t>Benefits</t>
  </si>
  <si>
    <t>Subtract out O&amp;M costs</t>
  </si>
  <si>
    <t>Only consider capital costs</t>
  </si>
  <si>
    <t>Considerations</t>
  </si>
  <si>
    <t>BCA vs Economic Impact Analysis</t>
  </si>
  <si>
    <t>Transfers</t>
  </si>
  <si>
    <t>Avoided costs</t>
  </si>
  <si>
    <t>not considered</t>
  </si>
  <si>
    <t>Rate</t>
  </si>
  <si>
    <t>Year</t>
  </si>
  <si>
    <t>Historic Inflation Rates</t>
  </si>
  <si>
    <t>Discount Factor @7%</t>
  </si>
  <si>
    <t>7% Discount Factor</t>
  </si>
  <si>
    <t xml:space="preserve">Base Year </t>
  </si>
  <si>
    <t>Discounted at 7%</t>
  </si>
  <si>
    <t>grams</t>
  </si>
  <si>
    <t>CONVERSION FACTORS</t>
  </si>
  <si>
    <t>1 short ton</t>
  </si>
  <si>
    <t>https://www.eia.gov/environment/emissions/co2_vol_mass.php</t>
  </si>
  <si>
    <t>not modeled per DOT guidance</t>
  </si>
  <si>
    <t>Project Capital Costs</t>
  </si>
  <si>
    <t>TOTAL COSTS</t>
  </si>
  <si>
    <t>Project CAPEX</t>
  </si>
  <si>
    <t>kWh/yr</t>
  </si>
  <si>
    <t>Benefit Cost Ratio</t>
  </si>
  <si>
    <t>BCR &amp; NPV</t>
  </si>
  <si>
    <t>PM2.5</t>
  </si>
  <si>
    <t>CO2</t>
  </si>
  <si>
    <t>Base Case</t>
  </si>
  <si>
    <t>Project O&amp;M Costs</t>
  </si>
  <si>
    <t>Base Case O&amp;M Costs</t>
  </si>
  <si>
    <t>MODEL: COSTS</t>
  </si>
  <si>
    <t>MODEL: MAIN</t>
  </si>
  <si>
    <t>MODEL: ASSUMPTIONS</t>
  </si>
  <si>
    <t>KEY PARAMETERS</t>
  </si>
  <si>
    <t>checked</t>
  </si>
  <si>
    <t>QAQC / REVIEW TRACKING</t>
  </si>
  <si>
    <t>ADDED THIS BY DROPPING OUTPUT FROM BASELINE</t>
  </si>
  <si>
    <t xml:space="preserve">Upsizing Electric Reefer Plug Capacity </t>
  </si>
  <si>
    <t xml:space="preserve"> </t>
  </si>
  <si>
    <t>APPENDIX B2</t>
  </si>
  <si>
    <t/>
  </si>
  <si>
    <t>May 15, 2022</t>
  </si>
  <si>
    <t>BENEFIT COST ANALYSIS</t>
  </si>
  <si>
    <t>Grant Administration</t>
  </si>
  <si>
    <t>Port and Maritime Electrification Plan</t>
  </si>
  <si>
    <t>Hybrid RTGs (6)</t>
  </si>
  <si>
    <t>150+-kW EVSE (5)</t>
  </si>
  <si>
    <t>Make-Ready Stub-Outs (5)</t>
  </si>
  <si>
    <t>Reefer Stack Upgrades (160)</t>
  </si>
  <si>
    <t>Top Pick</t>
  </si>
  <si>
    <t>150+-kW EVSE (10)</t>
  </si>
  <si>
    <t>Workforce Development</t>
  </si>
  <si>
    <t>Technology / Knowledge Transfer</t>
  </si>
  <si>
    <t>Total Cost</t>
  </si>
  <si>
    <t>Contingency</t>
  </si>
  <si>
    <t>Project Start Date</t>
  </si>
  <si>
    <t>Q3 2023</t>
  </si>
  <si>
    <t>50% down, 50% on delivery</t>
  </si>
  <si>
    <t>SSA pays for equipment upon delivery.</t>
  </si>
  <si>
    <t>30% down, 70% on delivery</t>
  </si>
  <si>
    <t>Crowley pays for equipment upon delivery.</t>
  </si>
  <si>
    <t>Base Case CapitalCosts</t>
  </si>
  <si>
    <t>Capacity and Throughput, Historic</t>
  </si>
  <si>
    <t>Crowley, 2019</t>
  </si>
  <si>
    <t>Crowley, 2020</t>
  </si>
  <si>
    <t>Crowley, 2021</t>
  </si>
  <si>
    <t>SSA, 2019</t>
  </si>
  <si>
    <t>SSA, 2020</t>
  </si>
  <si>
    <t>SSA, 2021</t>
  </si>
  <si>
    <t>Crowley, Typical</t>
  </si>
  <si>
    <t>SSA, Typical</t>
  </si>
  <si>
    <t>Total Throughput, Typical</t>
  </si>
  <si>
    <t>ALSO have tonnage numbers if needed</t>
  </si>
  <si>
    <t>Replacement ratio: RTG : Top Pick</t>
  </si>
  <si>
    <t xml:space="preserve"> 1:2.5</t>
  </si>
  <si>
    <t>ratio</t>
  </si>
  <si>
    <t>One RTG replaces 2.5 top picks, approximately</t>
  </si>
  <si>
    <t>SSA Ops data</t>
  </si>
  <si>
    <t>Existing Top Picks, SSA; will replace oldest first</t>
  </si>
  <si>
    <t>Taylor 950-4H</t>
  </si>
  <si>
    <t>model year</t>
  </si>
  <si>
    <t>Taylor 954-4H</t>
  </si>
  <si>
    <t>Taylor 955-5H</t>
  </si>
  <si>
    <t>Crowley ops data</t>
  </si>
  <si>
    <t>SSA ops data</t>
  </si>
  <si>
    <t>Number of Top Picks Replace by Project</t>
  </si>
  <si>
    <t>6 hybrid RTGs replace this number of top picks--&gt;</t>
  </si>
  <si>
    <t xml:space="preserve">   As above formatted for calculations---&gt;</t>
  </si>
  <si>
    <t>number top picks replaced per RTG</t>
  </si>
  <si>
    <t>6 hybrid top picks</t>
  </si>
  <si>
    <t>1 top pick for Crawley</t>
  </si>
  <si>
    <t>Equipment Replacement: Top Picks (20 total)</t>
  </si>
  <si>
    <t>Top Picks, Tier 4 Diesel (6)</t>
  </si>
  <si>
    <t>Costs for equipment replacements under baseline</t>
  </si>
  <si>
    <t>Top Pick, Tier 4</t>
  </si>
  <si>
    <t>number</t>
  </si>
  <si>
    <t>$/unit</t>
  </si>
  <si>
    <t>SSA data</t>
  </si>
  <si>
    <t>Project Budget / quotes</t>
  </si>
  <si>
    <t>Fuel</t>
  </si>
  <si>
    <t>Electricity</t>
  </si>
  <si>
    <t>18,000+-lb Forklift, batt electric (5)</t>
  </si>
  <si>
    <t>Yard Tractor, batt electric (10)</t>
  </si>
  <si>
    <t>10,000-lb Forklift, Batt Electric (10)</t>
  </si>
  <si>
    <t>36,000-lb Forklift, Batt Electric (10)</t>
  </si>
  <si>
    <t>Top Pick, Tier 4, Diesel (1)</t>
  </si>
  <si>
    <t>Fork Lift, 10,000 lb, non-electric</t>
  </si>
  <si>
    <t>Forklift, 18,000 lb, non-electric</t>
  </si>
  <si>
    <t>Forklift, 36,000 lb, non-electric</t>
  </si>
  <si>
    <t>Equipment Replacement: Forklifts 18,000 lb (5 total)</t>
  </si>
  <si>
    <t>Equipment Replacement: Forklift, 10,000 lb (10 total)</t>
  </si>
  <si>
    <t>Equipment Replacement: Forklift, 36,000 lb (10 total)</t>
  </si>
  <si>
    <t>Equipment Replacement: Yard Tractor (10 total)</t>
  </si>
  <si>
    <t>Yard Tractor, Non-Electric</t>
  </si>
  <si>
    <t>Contingency percent for baseline scenario</t>
  </si>
  <si>
    <t>Assumes same as Project</t>
  </si>
  <si>
    <t>Reefer rack electrification, per unit</t>
  </si>
  <si>
    <t>Assumes cost of elec system upgrades incremental with rack electrification (conservative assumption)</t>
  </si>
  <si>
    <t>Additional Equipment: Top Picks (2 additional)</t>
  </si>
  <si>
    <t>$/year</t>
  </si>
  <si>
    <t>Forklift Operator</t>
  </si>
  <si>
    <t>Maintenance Staff</t>
  </si>
  <si>
    <t>Average Labor Costs (includes Fringe)</t>
  </si>
  <si>
    <t>Shifts per day on each piece of equipment</t>
  </si>
  <si>
    <t>JAXPORT salary data, average</t>
  </si>
  <si>
    <t>Longshoreman, SSA Marine</t>
  </si>
  <si>
    <t>SSA Marine typical longshoreman wages</t>
  </si>
  <si>
    <t>SSA Marine typical forklift operator</t>
  </si>
  <si>
    <t>Labor, Longshoremen</t>
  </si>
  <si>
    <t>Labor, Forklift Operator</t>
  </si>
  <si>
    <t>Labor, Maintenance</t>
  </si>
  <si>
    <t>Top Picks</t>
  </si>
  <si>
    <t>Forklifts, 18000 lb</t>
  </si>
  <si>
    <t>Forklifts, 10000 lb</t>
  </si>
  <si>
    <t>Forklifts, 36000 lb</t>
  </si>
  <si>
    <t>Yard Tractors</t>
  </si>
  <si>
    <t>RTGs</t>
  </si>
  <si>
    <t>Equipment pieces per new maintenance staff</t>
  </si>
  <si>
    <t>SEE ---&gt;</t>
  </si>
  <si>
    <t>Summary or Total</t>
  </si>
  <si>
    <t>OPEX Parameters</t>
  </si>
  <si>
    <t>CAPEX Parameters</t>
  </si>
  <si>
    <t>Fuel Costs</t>
  </si>
  <si>
    <t xml:space="preserve">EIA does not publish non-road diesel cost data. Also EIA data for FL diesel fuel costs were not available. Therefore used PADD1C regional values for FL. Note these include taxes so the next calcs estimate diesel cost without taxes </t>
  </si>
  <si>
    <t>PADD1C Region taxes applied</t>
  </si>
  <si>
    <t>$/gallon</t>
  </si>
  <si>
    <t>Lower Atlantic (PADD 1C) No 2 Diesel Ultra Low Sulfur (0-15 ppm) Retail Prices</t>
  </si>
  <si>
    <t>https://www.eia.gov/dnav/pet/hist/LeafHandler.ashx?n=PET&amp;s=EMD_EPD2DXL0_PTE_R1Z_DPG&amp;f=M</t>
  </si>
  <si>
    <t>06:09:43 GMT-0700 (Pacific Daylight Time)</t>
  </si>
  <si>
    <t>Source: U.S. Energy Information Administration</t>
  </si>
  <si>
    <t>Month</t>
  </si>
  <si>
    <t>Lower Atlantic (PADD 1C) No 2 Diesel Ultra Low Sulfur (0-15 ppm) Retail Prices Dollars per Gallon</t>
  </si>
  <si>
    <t>10-year average</t>
  </si>
  <si>
    <t>2-year average</t>
  </si>
  <si>
    <t>EIA FUEL COST DATA</t>
  </si>
  <si>
    <t xml:space="preserve">SOURCE: </t>
  </si>
  <si>
    <t>https://www.taxadmin.org/assets/docs/Research/Rates/mf.pdf</t>
  </si>
  <si>
    <t>FL Fuel Tax per gal</t>
  </si>
  <si>
    <t>Diesel Cost, PADD1C region</t>
  </si>
  <si>
    <t>Estimated non-road diesel cost</t>
  </si>
  <si>
    <t>Fuel Volumes</t>
  </si>
  <si>
    <t>Gal/hour operation</t>
  </si>
  <si>
    <t>ops data</t>
  </si>
  <si>
    <t>Source 1</t>
  </si>
  <si>
    <t>Source 2</t>
  </si>
  <si>
    <t>https://deq.nc.gov/media/21668/download</t>
  </si>
  <si>
    <t>RTGs, Hybrid</t>
  </si>
  <si>
    <t>https://sustainableworldports.org/wp-content/uploads/CAAP-lbct-ecocrane-final-report-january-2012-1.pdf</t>
  </si>
  <si>
    <t>Based on Port of Long Beach hybrid RTG trial</t>
  </si>
  <si>
    <t>gal/yr</t>
  </si>
  <si>
    <t>Capacity or Use Factor for Equipment, per unit</t>
  </si>
  <si>
    <t>Forklift, 36000 lb, diesel</t>
  </si>
  <si>
    <t>Forklift, 18000 lb, electric</t>
  </si>
  <si>
    <t>Forklift, 10000 lb, electric</t>
  </si>
  <si>
    <t>Forklift, 36000 lb, electric</t>
  </si>
  <si>
    <t>Yard Tractor, Diesel</t>
  </si>
  <si>
    <t>Yard Tractor, electric</t>
  </si>
  <si>
    <t>BASE CASE Fuel Consumption</t>
  </si>
  <si>
    <t>Wiggins W360YE specs and typical work/charge rates based on Port of West Sacramento for similar equipment</t>
  </si>
  <si>
    <t>Forklift, 10000 lb, diesel, Tier 3</t>
  </si>
  <si>
    <t>Forklift, 10000 lb, Diesel</t>
  </si>
  <si>
    <t>Crowley Ops Data</t>
  </si>
  <si>
    <t>Reefer Power Packs, 30 plugs, dual engine, Tier 3, 400 HP CAT</t>
  </si>
  <si>
    <t>Reefer Power Packs, 30 plugs, single engine, Tier 3 400 HP CAT</t>
  </si>
  <si>
    <t>Nose Mount genset 1 plug, single engine, Tier 3, 32-34HP, Kubota / Carrier or Yanmar</t>
  </si>
  <si>
    <t>Reefer Capacity Factor</t>
  </si>
  <si>
    <t>Number of Reefers relevant to project and base case</t>
  </si>
  <si>
    <t>Basic Parameters</t>
  </si>
  <si>
    <t>Hours per year</t>
  </si>
  <si>
    <t>hr/yr</t>
  </si>
  <si>
    <t>Reefer Plugs, Electric</t>
  </si>
  <si>
    <t>kWh/hr of operation</t>
  </si>
  <si>
    <t>Existing operational data</t>
  </si>
  <si>
    <t>existing equipment ops data</t>
  </si>
  <si>
    <t>Reefer power consumption per hour, average, per reefer</t>
  </si>
  <si>
    <t>kWh/year</t>
  </si>
  <si>
    <t>Forklift, 18000 lb, diesel</t>
  </si>
  <si>
    <t>Forklift, 18000 lb, Diesel</t>
  </si>
  <si>
    <t>Equipment specs</t>
  </si>
  <si>
    <t>spec sheet</t>
  </si>
  <si>
    <t>Yard Tractor, Electric</t>
  </si>
  <si>
    <t>Yard Tractor, Diesel, Tier 3, 175 HP</t>
  </si>
  <si>
    <t>Assumes 5.3 EER</t>
  </si>
  <si>
    <t>PROJECT Annual Fuel Consumption by Fuel Type, ALL EQUIPMENT</t>
  </si>
  <si>
    <t>Equipment In Operation, Project, for Labor costs</t>
  </si>
  <si>
    <t>Equipment in Operation, Base Case, For Labor Costs</t>
  </si>
  <si>
    <t xml:space="preserve">Annual Fuel Consumption per Unit, baseline and project </t>
  </si>
  <si>
    <t>Project Equipment per year, Project, for Emissions calcs</t>
  </si>
  <si>
    <t>Baseline Equipment per year, Project, for Emissions calcs</t>
  </si>
  <si>
    <t>30 plugs per unit</t>
  </si>
  <si>
    <t>for 1 plug; 0.67 factor accounts for stop and start of compressor on reefer</t>
  </si>
  <si>
    <t>Project, Total Diesel Consumption</t>
  </si>
  <si>
    <t>Project, Total Electricity Consumption</t>
  </si>
  <si>
    <t>Base Case, Total Diesel Consumption</t>
  </si>
  <si>
    <t>Base Case, Total Elec Consumption related to project</t>
  </si>
  <si>
    <t>Charging efficiency factor</t>
  </si>
  <si>
    <t>unitless proportion</t>
  </si>
  <si>
    <t>Assumes 90% efficiency / 10% loss</t>
  </si>
  <si>
    <t>Value OR total</t>
  </si>
  <si>
    <t>for 30 plugs; ; 0.67 factor accounts for stop and start of compressor on reefer</t>
  </si>
  <si>
    <t>for 30 plugs; 0.67 factor accounts for stop and start of compressor on reefer</t>
  </si>
  <si>
    <t>Electricity Cost at JAXPORT</t>
  </si>
  <si>
    <t>$/kWh</t>
  </si>
  <si>
    <t xml:space="preserve">Based on actual kWh costs at JAXPORT: 172806 kwh @ $16,848.42 </t>
  </si>
  <si>
    <t>CAPEX, Total</t>
  </si>
  <si>
    <t>MODEL: SUMMARY OF BENEFITS AND COSTS; All discounted at 7%</t>
  </si>
  <si>
    <t>OPEX, Total</t>
  </si>
  <si>
    <t>Net Benefits of Project Versus Baseline</t>
  </si>
  <si>
    <t>Total Benefit of Project</t>
  </si>
  <si>
    <t>Diesel Consumption (gallons)</t>
  </si>
  <si>
    <t>Emissions, Project</t>
  </si>
  <si>
    <t>Emissions, Base Case</t>
  </si>
  <si>
    <t>metric tonnes CO2 per gallon diesel</t>
  </si>
  <si>
    <t>MT CO2/gallon diesel</t>
  </si>
  <si>
    <t>Emissions Calculations</t>
  </si>
  <si>
    <t>Net Emissions Reduction, Project</t>
  </si>
  <si>
    <t>Safety</t>
  </si>
  <si>
    <t>SAFETY</t>
  </si>
  <si>
    <t>Nox</t>
  </si>
  <si>
    <t>SOx</t>
  </si>
  <si>
    <t>General</t>
  </si>
  <si>
    <t>CAP Emissions Calculations</t>
  </si>
  <si>
    <t>Emission Factors</t>
  </si>
  <si>
    <t>HC_tpd</t>
  </si>
  <si>
    <t>ROG_tpd</t>
  </si>
  <si>
    <t>TOG_tpd</t>
  </si>
  <si>
    <t>CO_tpd</t>
  </si>
  <si>
    <t>NOx_tpd</t>
  </si>
  <si>
    <t>CO2_tpd</t>
  </si>
  <si>
    <t>PM10_tpd</t>
  </si>
  <si>
    <t>PM2.5_tpd</t>
  </si>
  <si>
    <t>SOx_tpd</t>
  </si>
  <si>
    <t>NH3_tpd</t>
  </si>
  <si>
    <t>Fuel Consumption</t>
  </si>
  <si>
    <t>84 HP; uses MY 2008 100HP as proxy for emission factors</t>
  </si>
  <si>
    <t>uses MY 2004 175 HP for emission factors</t>
  </si>
  <si>
    <t>Uses MY 2008 100HP as proxy for emission factors</t>
  </si>
  <si>
    <t>175-210 HP cummins, used MY2010 175HP Diesel for emission factors</t>
  </si>
  <si>
    <t>uses MY 2005 300 HP diesel Port other equipment for emissions proxy</t>
  </si>
  <si>
    <t>uses MY 2005 50 HP other port diesel equipment as emissions proxy</t>
  </si>
  <si>
    <t>Uses MY2023 600 HP diesel RTG with 75% emissions reduction due to hybrid</t>
  </si>
  <si>
    <t>Emissions from grid power</t>
  </si>
  <si>
    <t xml:space="preserve">FRCC </t>
  </si>
  <si>
    <t>lbs/MWh</t>
  </si>
  <si>
    <t>short tons per day</t>
  </si>
  <si>
    <t>https://www.epa.gov/egrid/power-profiler#/</t>
  </si>
  <si>
    <t>https://www.epa.gov/sites/default/files/2020-07/egrid_draft_pm2.5_emissions_7-20-20.xlsx</t>
  </si>
  <si>
    <t xml:space="preserve">     Source ---&gt;</t>
  </si>
  <si>
    <t>lbs/kWh</t>
  </si>
  <si>
    <t>Operational days per year</t>
  </si>
  <si>
    <t>days per year</t>
  </si>
  <si>
    <t>Emissions, Project: Nox</t>
  </si>
  <si>
    <t>X</t>
  </si>
  <si>
    <t>tons/yr</t>
  </si>
  <si>
    <t>Reefer, electric</t>
  </si>
  <si>
    <t>Reefer, Electric</t>
  </si>
  <si>
    <t>Emissions, Project: PM2.5</t>
  </si>
  <si>
    <t>Emissions, Project: SOx</t>
  </si>
  <si>
    <t>Emissions, Baseline: Nox</t>
  </si>
  <si>
    <t>Emissions, Baseline: PM2.5</t>
  </si>
  <si>
    <t>Emissions, Baseline: SOx</t>
  </si>
  <si>
    <t>MODEL: EMISSIONS</t>
  </si>
  <si>
    <t>Emissions, Project: CO2</t>
  </si>
  <si>
    <t>MT CO2/yr</t>
  </si>
  <si>
    <t>Emissions, Baseline: CO2</t>
  </si>
  <si>
    <t>NET EMISSIONS REDUCTION: Nox</t>
  </si>
  <si>
    <t>NET EMISSIONS REDUCTION: PM2.5</t>
  </si>
  <si>
    <t>NET EMISSIONS REDUCTION: SOx</t>
  </si>
  <si>
    <t>NET EMISSIONS REDUCTION: CO2</t>
  </si>
  <si>
    <t>Emissions: Nox</t>
  </si>
  <si>
    <t>Emissions: PM2.5</t>
  </si>
  <si>
    <t>Emissions: SOx</t>
  </si>
  <si>
    <t>Emissions: CO2</t>
  </si>
  <si>
    <t>EMISSIONS: PROJECT</t>
  </si>
  <si>
    <t>EMISSIONS: BASE CASE</t>
  </si>
  <si>
    <t>EMISSIONS: COMPARISON</t>
  </si>
  <si>
    <t>Electricity Consumption (kWh)</t>
  </si>
  <si>
    <t>Emissions: NOx</t>
  </si>
  <si>
    <t>Tons/yr</t>
  </si>
  <si>
    <t>MT/yr</t>
  </si>
  <si>
    <t>$ Emissions Cost: Nox</t>
  </si>
  <si>
    <t>$ Emissions Cost: PM2.5</t>
  </si>
  <si>
    <t>$ Emissions Cost: SOx</t>
  </si>
  <si>
    <t>$ Emissions Cost: CO2</t>
  </si>
  <si>
    <t>Emissions Reduction Values, $/Short Ton*</t>
  </si>
  <si>
    <t xml:space="preserve"> *NOTE: values converted from MT to short tons; data are based on DOT guidance</t>
  </si>
  <si>
    <t>To switch to per metric tonne, multiply by --------------&gt;&gt;</t>
  </si>
  <si>
    <t>$/yr</t>
  </si>
  <si>
    <t>$/MT CO2</t>
  </si>
  <si>
    <t>Based on 2022 guidance</t>
  </si>
  <si>
    <t>Discount Factor @3%</t>
  </si>
  <si>
    <t>3% Discount Factor</t>
  </si>
  <si>
    <t>Discounted at 3%</t>
  </si>
  <si>
    <t>Discounted 7%</t>
  </si>
  <si>
    <t>Discounted 3%</t>
  </si>
  <si>
    <t>O - No Injury</t>
  </si>
  <si>
    <t>C - Possible Injury</t>
  </si>
  <si>
    <t>B - Non-Incapacitating</t>
  </si>
  <si>
    <t>A - Incapacitating</t>
  </si>
  <si>
    <t>K - Killed</t>
  </si>
  <si>
    <t>U - Injured, Severity Unknown</t>
  </si>
  <si>
    <t>Top Pick Average Emission Factor Calculation</t>
  </si>
  <si>
    <t>Cargo Handling Equipment - Port Container Handling Equipment</t>
  </si>
  <si>
    <t>Diesel</t>
  </si>
  <si>
    <t>Vehicle Category</t>
  </si>
  <si>
    <t>Model Year</t>
  </si>
  <si>
    <t>Horsepower Bin</t>
  </si>
  <si>
    <t>Total_Activity_hpy</t>
  </si>
  <si>
    <t>Total_Population</t>
  </si>
  <si>
    <t>Horsepower_Hours_hhpy</t>
  </si>
  <si>
    <t>hours/yr</t>
  </si>
  <si>
    <t>Pieces of Equipment</t>
  </si>
  <si>
    <t>CALCULATED: EMISSIONS PER GALLON DIESEL</t>
  </si>
  <si>
    <t>Project Top Pick Nox</t>
  </si>
  <si>
    <t>Base Case Top Pick Nox</t>
  </si>
  <si>
    <t>Project Top Pick PM2.5</t>
  </si>
  <si>
    <t>Project Top Pick SOx</t>
  </si>
  <si>
    <t>Base Case Top Pick PM2.5</t>
  </si>
  <si>
    <t>Base Case Top Pick SOx</t>
  </si>
  <si>
    <t>tons/gal diesel</t>
  </si>
  <si>
    <t>tons/gallon diesel</t>
  </si>
  <si>
    <t>SEE CALCULATIONS BELOW -- detailed emission factors were available</t>
  </si>
  <si>
    <t>SEE CALCS BELOW -- detailed emission factors were available</t>
  </si>
  <si>
    <t>uses MY 2003 300 HP diesel Port other equipment for emissions proxy</t>
  </si>
  <si>
    <t>Cargo Handling Equipment - Port Other General Industrial Equipment</t>
  </si>
  <si>
    <t>WEIGHTED AVERAGE EMISSION FACTORS, TOP PICKS ONLY</t>
  </si>
  <si>
    <t>one claim every this many hours</t>
  </si>
  <si>
    <t>claims per worked hour</t>
  </si>
  <si>
    <t>claims per $million labor</t>
  </si>
  <si>
    <t>Accident rate per labor dollar</t>
  </si>
  <si>
    <t>C</t>
  </si>
  <si>
    <t>K</t>
  </si>
  <si>
    <t>Accident Cost (BCA Guidance)</t>
  </si>
  <si>
    <t>MODEL:SAFETY</t>
  </si>
  <si>
    <t>Base Case Labor</t>
  </si>
  <si>
    <t>Project Labor</t>
  </si>
  <si>
    <t>Claim: C</t>
  </si>
  <si>
    <t>Claim: K</t>
  </si>
  <si>
    <t>Cost of Claims</t>
  </si>
  <si>
    <t>O</t>
  </si>
  <si>
    <t>Claim: O</t>
  </si>
  <si>
    <t>B</t>
  </si>
  <si>
    <t>A</t>
  </si>
  <si>
    <t>Claim: B</t>
  </si>
  <si>
    <t>Claim: A</t>
  </si>
  <si>
    <t>Savings Due to Improved On Site Efficiency / Fewer Crashes</t>
  </si>
  <si>
    <t>Damaged Equipment and Goods per year</t>
  </si>
  <si>
    <t>Insufficient data</t>
  </si>
  <si>
    <t>MODEL:Throughput and Efficiency</t>
  </si>
  <si>
    <t>Transport miles</t>
  </si>
  <si>
    <t>1 Unit tons</t>
  </si>
  <si>
    <t>tons</t>
  </si>
  <si>
    <t>Truck CO2</t>
  </si>
  <si>
    <t>MTCO2e</t>
  </si>
  <si>
    <t>Rail CO2</t>
  </si>
  <si>
    <t>Reduced drayage transport, per unit (aggregated)</t>
  </si>
  <si>
    <t>Net savings per unit</t>
  </si>
  <si>
    <t>Applicable units per week</t>
  </si>
  <si>
    <t>units/week</t>
  </si>
  <si>
    <t>Annual Savings</t>
  </si>
  <si>
    <t>MTCO2e/yr</t>
  </si>
  <si>
    <t>Fuel Savings</t>
  </si>
  <si>
    <t>gallons/yr</t>
  </si>
  <si>
    <t>MT CO2e/yr</t>
  </si>
  <si>
    <t>Improved Efficiency for Crowley's Terminal</t>
  </si>
  <si>
    <t>Safety, Project</t>
  </si>
  <si>
    <t>Safety, Base Case</t>
  </si>
  <si>
    <t>Net Safety Cost Reduction, Project</t>
  </si>
  <si>
    <t>EMISSIONS</t>
  </si>
  <si>
    <t>Efficiency Savings: GHG</t>
  </si>
  <si>
    <t>Efficiency Savings: Diesel Fuel Savings</t>
  </si>
  <si>
    <t>Efficiency Savings: Diesel Fuel Savings COST</t>
  </si>
  <si>
    <t>Project reduced on-dock traffic estimated reduction in incident occurrence</t>
  </si>
  <si>
    <t>Calculated based on reduced on site vehicle usage due to substitution of top picks with RTGs at a rate of 1 RTG replaces 2.5 top picks; assumes phase in with top picks</t>
  </si>
  <si>
    <t>Improved efficiency percentage phased in consistent with RTG deployment / Top Pick retirement schedule</t>
  </si>
  <si>
    <t>Savings Due to Reduced Labor and improved on site safety via switch from Top Picks to RTGs</t>
  </si>
  <si>
    <t>Based on BCA Guidance; See paste-in below in row 45+</t>
  </si>
  <si>
    <t xml:space="preserve">Changes in Fuel and Electricity Consumption </t>
  </si>
  <si>
    <t>Diesel Fuel Consumption</t>
  </si>
  <si>
    <t>Electricity Consumption</t>
  </si>
  <si>
    <t>Project Reduction</t>
  </si>
  <si>
    <t>gallons/lifetime</t>
  </si>
  <si>
    <t>kWh/lifetime</t>
  </si>
  <si>
    <t>Changes in Emissions</t>
  </si>
  <si>
    <t xml:space="preserve">NOx </t>
  </si>
  <si>
    <t>short tons/lifetime</t>
  </si>
  <si>
    <t>metric tonnes/lifetime</t>
  </si>
  <si>
    <t>Feeds to base case fuel consumption in worksheet 2_MODEL_Costs</t>
  </si>
  <si>
    <t>Feeds tp base case GHG summary in worksheet 3_MODEL_Main</t>
  </si>
  <si>
    <t>Recalculated elsewhere in model, this row not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</si>
</sst>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quot;$&quot;* #,##0.000_);_(&quot;$&quot;* \(#,##0.000\);_(&quot;$&quot;* &quot;-&quot;??_);_(@_)"/>
    <numFmt numFmtId="167" formatCode="_(* #,##0.0_);_(* \(#,##0.0\);_(* &quot;-&quot;??_);_(@_)"/>
    <numFmt numFmtId="168" formatCode="_(&quot;$&quot;* #,##0_);_(&quot;$&quot;* \(#,##0\);_(&quot;$&quot;* &quot;-&quot;??_);_(@_)"/>
    <numFmt numFmtId="169" formatCode="0.0"/>
    <numFmt numFmtId="172" formatCode="_(&quot;$&quot;* #,##0.0_);_(&quot;$&quot;* \(#,##0.0\);_(&quot;$&quot;* &quot;-&quot;?_);_(@_)"/>
    <numFmt numFmtId="173" formatCode="_(&quot;$&quot;* #,##0_);_(&quot;$&quot;* \(#,##0\);_(&quot;$&quot;* &quot;-&quot;?_);_(@_)"/>
    <numFmt numFmtId="180" formatCode="_(* #,##0.000000000_);_(* \(#,##0.000000000\);_(* &quot;-&quot;??_);_(@_)"/>
    <numFmt numFmtId="183" formatCode="0.000"/>
    <numFmt numFmtId="184" formatCode="&quot;$&quot;#,##0.000_);[Red]\(&quot;$&quot;#,##0.000\)"/>
    <numFmt numFmtId="185" formatCode="0.00000"/>
    <numFmt numFmtId="186" formatCode="&quot;$&quot;#,##0"/>
    <numFmt numFmtId="187" formatCode="_(* #,##0.00000000_);_(* \(#,##0.00000000\);_(* &quot;-&quot;??_);_(@_)"/>
  </numFmts>
  <fonts count="27" x14ac:knownFonts="1">
    <font>
      <sz val="11"/>
      <color theme="1"/>
      <name val="Calibri"/>
      <family val="2"/>
      <scheme val="minor"/>
    </font>
    <font>
      <b/>
      <sz val="11"/>
      <color theme="1"/>
      <name val="Calibri"/>
      <family val="2"/>
      <scheme val="minor"/>
    </font>
    <font>
      <b/>
      <i/>
      <sz val="11"/>
      <color theme="1"/>
      <name val="Calibri"/>
      <family val="2"/>
      <scheme val="minor"/>
    </font>
    <font>
      <u/>
      <sz val="11"/>
      <color theme="10"/>
      <name val="Calibri"/>
      <family val="2"/>
      <scheme val="minor"/>
    </font>
    <font>
      <sz val="11"/>
      <color theme="1"/>
      <name val="Calibri"/>
      <family val="2"/>
      <scheme val="minor"/>
    </font>
    <font>
      <i/>
      <sz val="11"/>
      <color theme="1"/>
      <name val="Calibri"/>
      <family val="2"/>
      <scheme val="minor"/>
    </font>
    <font>
      <sz val="10"/>
      <color theme="1"/>
      <name val="Times New Roman"/>
      <family val="1"/>
    </font>
    <font>
      <sz val="8"/>
      <color theme="1"/>
      <name val="Times New Roman"/>
      <family val="1"/>
    </font>
    <font>
      <u/>
      <sz val="11"/>
      <color theme="10"/>
      <name val="Calibri"/>
      <family val="2"/>
    </font>
    <font>
      <b/>
      <sz val="16"/>
      <color theme="1"/>
      <name val="Calibri"/>
      <family val="2"/>
      <scheme val="minor"/>
    </font>
    <font>
      <sz val="16"/>
      <color theme="1"/>
      <name val="Calibri"/>
      <family val="2"/>
      <scheme val="minor"/>
    </font>
    <font>
      <i/>
      <sz val="11"/>
      <name val="Calibri"/>
      <family val="2"/>
      <scheme val="minor"/>
    </font>
    <font>
      <b/>
      <sz val="20"/>
      <color theme="1"/>
      <name val="Calibri"/>
      <family val="2"/>
      <scheme val="minor"/>
    </font>
    <font>
      <b/>
      <sz val="18"/>
      <color theme="1"/>
      <name val="Calibri"/>
      <family val="2"/>
      <scheme val="minor"/>
    </font>
    <font>
      <sz val="18"/>
      <color theme="1"/>
      <name val="Calibri"/>
      <family val="2"/>
      <scheme val="minor"/>
    </font>
    <font>
      <sz val="10"/>
      <name val="Arial"/>
      <family val="2"/>
    </font>
    <font>
      <b/>
      <sz val="18"/>
      <name val="Calibri"/>
      <family val="2"/>
      <scheme val="minor"/>
    </font>
    <font>
      <sz val="12"/>
      <name val="Calibri"/>
      <family val="2"/>
      <scheme val="minor"/>
    </font>
    <font>
      <u/>
      <sz val="10"/>
      <color theme="10"/>
      <name val="Arial"/>
      <family val="2"/>
    </font>
    <font>
      <u/>
      <sz val="10"/>
      <color theme="10"/>
      <name val="Calibri"/>
      <family val="2"/>
      <scheme val="minor"/>
    </font>
    <font>
      <sz val="14"/>
      <color theme="1"/>
      <name val="Calibri"/>
      <family val="2"/>
      <scheme val="minor"/>
    </font>
    <font>
      <b/>
      <sz val="14"/>
      <color theme="1"/>
      <name val="Calibri"/>
      <family val="2"/>
      <scheme val="minor"/>
    </font>
    <font>
      <sz val="12"/>
      <color theme="1"/>
      <name val="Calibri"/>
      <family val="2"/>
      <scheme val="minor"/>
    </font>
    <font>
      <sz val="10"/>
      <color theme="1"/>
      <name val="Arial"/>
      <family val="2"/>
    </font>
    <font>
      <b/>
      <u/>
      <sz val="11"/>
      <color theme="1"/>
      <name val="Calibri"/>
      <family val="2"/>
      <scheme val="minor"/>
    </font>
    <font>
      <sz val="11"/>
      <color indexed="8"/>
      <name val="Arial"/>
      <family val="2"/>
    </font>
    <font>
      <sz val="11"/>
      <color indexed="62"/>
      <name val="Arial"/>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s>
  <borders count="3">
    <border>
      <left/>
      <right/>
      <top/>
      <bottom/>
      <diagonal/>
    </border>
    <border>
      <left style="thin">
        <color rgb="FF000000"/>
      </left>
      <right style="thin">
        <color rgb="FF000000"/>
      </right>
      <top style="thin">
        <color rgb="FFF1F1F1"/>
      </top>
      <bottom style="thin">
        <color rgb="FF000000"/>
      </bottom>
      <diagonal/>
    </border>
    <border>
      <left style="thin">
        <color rgb="FF000000"/>
      </left>
      <right style="thin">
        <color rgb="FF000000"/>
      </right>
      <top style="thin">
        <color rgb="FF000000"/>
      </top>
      <bottom style="thin">
        <color rgb="FF000000"/>
      </bottom>
      <diagonal/>
    </border>
  </borders>
  <cellStyleXfs count="9">
    <xf numFmtId="0" fontId="0" fillId="0" borderId="0"/>
    <xf numFmtId="0" fontId="3" fillId="0" borderId="0" applyNumberForma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alignment vertical="top"/>
      <protection locked="0"/>
    </xf>
    <xf numFmtId="0" fontId="4" fillId="0" borderId="0"/>
    <xf numFmtId="0" fontId="15" fillId="0" borderId="0"/>
    <xf numFmtId="0" fontId="18" fillId="0" borderId="0" applyNumberFormat="0" applyFill="0" applyBorder="0" applyAlignment="0" applyProtection="0"/>
  </cellStyleXfs>
  <cellXfs count="101">
    <xf numFmtId="0" fontId="0" fillId="0" borderId="0" xfId="0"/>
    <xf numFmtId="0" fontId="1" fillId="0" borderId="0" xfId="0" applyFont="1"/>
    <xf numFmtId="0" fontId="2" fillId="0" borderId="0" xfId="0" applyFont="1"/>
    <xf numFmtId="9" fontId="0" fillId="0" borderId="0" xfId="0" applyNumberFormat="1"/>
    <xf numFmtId="0" fontId="3" fillId="0" borderId="0" xfId="1"/>
    <xf numFmtId="0" fontId="0" fillId="2" borderId="0" xfId="0" applyFill="1"/>
    <xf numFmtId="164" fontId="0" fillId="0" borderId="0" xfId="2" applyNumberFormat="1" applyFont="1"/>
    <xf numFmtId="164" fontId="0" fillId="0" borderId="0" xfId="0" applyNumberFormat="1"/>
    <xf numFmtId="165" fontId="0" fillId="0" borderId="0" xfId="4" applyNumberFormat="1" applyFont="1"/>
    <xf numFmtId="0" fontId="5" fillId="0" borderId="0" xfId="0" applyFont="1"/>
    <xf numFmtId="0" fontId="0" fillId="0" borderId="0" xfId="0" applyFill="1"/>
    <xf numFmtId="167" fontId="0" fillId="0" borderId="0" xfId="2" applyNumberFormat="1" applyFont="1"/>
    <xf numFmtId="168" fontId="0" fillId="0" borderId="0" xfId="3" applyNumberFormat="1" applyFont="1"/>
    <xf numFmtId="168" fontId="0" fillId="0" borderId="0" xfId="0" applyNumberFormat="1"/>
    <xf numFmtId="168" fontId="1" fillId="0" borderId="0" xfId="0" applyNumberFormat="1" applyFont="1"/>
    <xf numFmtId="168" fontId="1" fillId="0" borderId="0" xfId="3" applyNumberFormat="1" applyFont="1"/>
    <xf numFmtId="164" fontId="1" fillId="0" borderId="0" xfId="2" applyNumberFormat="1" applyFont="1"/>
    <xf numFmtId="169" fontId="0" fillId="0" borderId="0" xfId="0" applyNumberFormat="1"/>
    <xf numFmtId="0" fontId="0" fillId="0" borderId="0" xfId="0" applyAlignment="1">
      <alignment wrapText="1"/>
    </xf>
    <xf numFmtId="0" fontId="6" fillId="0" borderId="0" xfId="0" applyFont="1"/>
    <xf numFmtId="0" fontId="6" fillId="0" borderId="0" xfId="0" applyFont="1" applyAlignment="1">
      <alignment vertical="center"/>
    </xf>
    <xf numFmtId="6" fontId="0" fillId="0" borderId="0" xfId="0" applyNumberFormat="1"/>
    <xf numFmtId="43" fontId="0" fillId="0" borderId="0" xfId="2" applyFont="1"/>
    <xf numFmtId="180" fontId="0" fillId="0" borderId="0" xfId="2" applyNumberFormat="1" applyFont="1"/>
    <xf numFmtId="173" fontId="0" fillId="0" borderId="0" xfId="0" applyNumberFormat="1"/>
    <xf numFmtId="0" fontId="1" fillId="4" borderId="0" xfId="0" applyFont="1" applyFill="1"/>
    <xf numFmtId="173" fontId="1" fillId="4" borderId="0" xfId="0" applyNumberFormat="1" applyFont="1" applyFill="1"/>
    <xf numFmtId="172" fontId="1" fillId="4" borderId="0" xfId="0" applyNumberFormat="1" applyFont="1" applyFill="1"/>
    <xf numFmtId="168" fontId="1" fillId="4" borderId="0" xfId="3" applyNumberFormat="1" applyFont="1" applyFill="1"/>
    <xf numFmtId="173" fontId="1" fillId="0" borderId="0" xfId="0" applyNumberFormat="1" applyFont="1"/>
    <xf numFmtId="0" fontId="0" fillId="0" borderId="0" xfId="0"/>
    <xf numFmtId="0" fontId="1" fillId="0" borderId="0" xfId="0" applyFont="1"/>
    <xf numFmtId="44" fontId="0" fillId="0" borderId="0" xfId="3" applyFont="1"/>
    <xf numFmtId="0" fontId="0" fillId="0" borderId="0" xfId="0" applyFont="1"/>
    <xf numFmtId="44" fontId="0" fillId="0" borderId="0" xfId="0" applyNumberFormat="1"/>
    <xf numFmtId="0" fontId="9" fillId="0" borderId="0" xfId="0" applyFont="1"/>
    <xf numFmtId="0" fontId="10" fillId="0" borderId="0" xfId="0" applyFont="1"/>
    <xf numFmtId="183" fontId="9" fillId="0" borderId="0" xfId="0" applyNumberFormat="1" applyFont="1"/>
    <xf numFmtId="43" fontId="0" fillId="0" borderId="0" xfId="0" applyNumberFormat="1"/>
    <xf numFmtId="0" fontId="11" fillId="0" borderId="0" xfId="0" applyFont="1"/>
    <xf numFmtId="168" fontId="0" fillId="0" borderId="0" xfId="3" applyNumberFormat="1" applyFont="1" applyFill="1"/>
    <xf numFmtId="1" fontId="0" fillId="0" borderId="0" xfId="0" applyNumberFormat="1"/>
    <xf numFmtId="0" fontId="4" fillId="3" borderId="0" xfId="6" applyFill="1"/>
    <xf numFmtId="0" fontId="4" fillId="3" borderId="0" xfId="6" applyFill="1" applyAlignment="1">
      <alignment vertical="top" wrapText="1"/>
    </xf>
    <xf numFmtId="0" fontId="14" fillId="3" borderId="0" xfId="6" applyFont="1" applyFill="1"/>
    <xf numFmtId="0" fontId="16" fillId="0" borderId="0" xfId="7" applyFont="1" applyAlignment="1">
      <alignment horizontal="centerContinuous" vertical="center"/>
    </xf>
    <xf numFmtId="0" fontId="13" fillId="3" borderId="0" xfId="6" applyFont="1" applyFill="1" applyAlignment="1">
      <alignment horizontal="centerContinuous"/>
    </xf>
    <xf numFmtId="0" fontId="13" fillId="3" borderId="0" xfId="6" applyFont="1" applyFill="1"/>
    <xf numFmtId="0" fontId="16" fillId="0" borderId="0" xfId="7" applyFont="1" applyAlignment="1">
      <alignment horizontal="centerContinuous" vertical="center" wrapText="1"/>
    </xf>
    <xf numFmtId="0" fontId="4" fillId="3" borderId="0" xfId="6" applyFill="1" applyAlignment="1">
      <alignment horizontal="right"/>
    </xf>
    <xf numFmtId="0" fontId="19" fillId="3" borderId="0" xfId="8" applyFont="1" applyFill="1" applyAlignment="1">
      <alignment horizontal="left"/>
    </xf>
    <xf numFmtId="0" fontId="20" fillId="3" borderId="0" xfId="6" applyFont="1" applyFill="1" applyAlignment="1">
      <alignment horizontal="center" vertical="center"/>
    </xf>
    <xf numFmtId="0" fontId="21" fillId="3" borderId="0" xfId="6" applyFont="1" applyFill="1" applyAlignment="1">
      <alignment horizontal="center" vertical="center"/>
    </xf>
    <xf numFmtId="0" fontId="22" fillId="3" borderId="0" xfId="6" applyFont="1" applyFill="1" applyAlignment="1">
      <alignment horizontal="center" vertical="center"/>
    </xf>
    <xf numFmtId="0" fontId="13" fillId="3" borderId="0" xfId="6" quotePrefix="1" applyFont="1" applyFill="1"/>
    <xf numFmtId="15" fontId="14" fillId="3" borderId="0" xfId="6" quotePrefix="1" applyNumberFormat="1" applyFont="1" applyFill="1" applyAlignment="1">
      <alignment horizontal="center"/>
    </xf>
    <xf numFmtId="0" fontId="23" fillId="0" borderId="0" xfId="0" applyFont="1"/>
    <xf numFmtId="164" fontId="1" fillId="0" borderId="0" xfId="0" applyNumberFormat="1" applyFont="1"/>
    <xf numFmtId="0" fontId="0" fillId="0" borderId="0" xfId="0" quotePrefix="1"/>
    <xf numFmtId="10" fontId="0" fillId="0" borderId="0" xfId="0" applyNumberFormat="1"/>
    <xf numFmtId="0" fontId="1" fillId="0" borderId="0" xfId="0" applyFont="1" applyAlignment="1">
      <alignment horizontal="left"/>
    </xf>
    <xf numFmtId="0" fontId="2" fillId="0" borderId="0" xfId="0" applyFont="1" applyAlignment="1">
      <alignment horizontal="left"/>
    </xf>
    <xf numFmtId="17" fontId="0" fillId="0" borderId="0" xfId="0" applyNumberFormat="1"/>
    <xf numFmtId="166" fontId="1" fillId="0" borderId="0" xfId="3" applyNumberFormat="1" applyFont="1"/>
    <xf numFmtId="166" fontId="0" fillId="0" borderId="0" xfId="3" applyNumberFormat="1" applyFont="1"/>
    <xf numFmtId="184" fontId="1" fillId="0" borderId="0" xfId="0" applyNumberFormat="1" applyFont="1"/>
    <xf numFmtId="0" fontId="24" fillId="0" borderId="0" xfId="0" applyFont="1" applyAlignment="1">
      <alignment horizontal="left"/>
    </xf>
    <xf numFmtId="185" fontId="0" fillId="0" borderId="0" xfId="0" applyNumberFormat="1"/>
    <xf numFmtId="164" fontId="4" fillId="0" borderId="0" xfId="2" applyNumberFormat="1" applyFont="1"/>
    <xf numFmtId="164" fontId="0" fillId="0" borderId="0" xfId="0" applyNumberFormat="1" applyFont="1"/>
    <xf numFmtId="0" fontId="0" fillId="0" borderId="0" xfId="0" applyFill="1" applyAlignment="1">
      <alignment vertical="center" textRotation="90"/>
    </xf>
    <xf numFmtId="168" fontId="4" fillId="0" borderId="0" xfId="3" applyNumberFormat="1" applyFont="1"/>
    <xf numFmtId="167" fontId="1" fillId="0" borderId="0" xfId="2" applyNumberFormat="1" applyFont="1"/>
    <xf numFmtId="168" fontId="0" fillId="0" borderId="0" xfId="0" applyNumberFormat="1" applyFont="1"/>
    <xf numFmtId="43" fontId="1" fillId="0" borderId="0" xfId="0" applyNumberFormat="1" applyFont="1"/>
    <xf numFmtId="167" fontId="1" fillId="0" borderId="0" xfId="0" applyNumberFormat="1" applyFont="1"/>
    <xf numFmtId="44" fontId="1" fillId="0" borderId="0" xfId="0" applyNumberFormat="1" applyFont="1"/>
    <xf numFmtId="1" fontId="25" fillId="0" borderId="1" xfId="0" applyNumberFormat="1" applyFont="1" applyBorder="1" applyAlignment="1">
      <alignment horizontal="left" vertical="top" shrinkToFit="1"/>
    </xf>
    <xf numFmtId="186" fontId="26" fillId="0" borderId="1" xfId="0" applyNumberFormat="1" applyFont="1" applyBorder="1" applyAlignment="1">
      <alignment horizontal="center" vertical="top" shrinkToFit="1"/>
    </xf>
    <xf numFmtId="186" fontId="26" fillId="0" borderId="1" xfId="0" applyNumberFormat="1" applyFont="1" applyBorder="1" applyAlignment="1">
      <alignment horizontal="right" vertical="top" shrinkToFit="1"/>
    </xf>
    <xf numFmtId="1" fontId="26" fillId="0" borderId="2" xfId="0" applyNumberFormat="1" applyFont="1" applyBorder="1" applyAlignment="1">
      <alignment horizontal="left" vertical="top" shrinkToFit="1"/>
    </xf>
    <xf numFmtId="186" fontId="26" fillId="0" borderId="2" xfId="0" applyNumberFormat="1" applyFont="1" applyBorder="1" applyAlignment="1">
      <alignment horizontal="center" vertical="top" shrinkToFit="1"/>
    </xf>
    <xf numFmtId="186" fontId="26" fillId="0" borderId="2" xfId="0" applyNumberFormat="1" applyFont="1" applyBorder="1" applyAlignment="1">
      <alignment horizontal="right" vertical="top" shrinkToFit="1"/>
    </xf>
    <xf numFmtId="167" fontId="0" fillId="0" borderId="0" xfId="0" applyNumberFormat="1"/>
    <xf numFmtId="187" fontId="0" fillId="0" borderId="0" xfId="0" applyNumberFormat="1"/>
    <xf numFmtId="0" fontId="0" fillId="0" borderId="0" xfId="0"/>
    <xf numFmtId="164" fontId="0" fillId="0" borderId="0" xfId="2" applyNumberFormat="1" applyFont="1"/>
    <xf numFmtId="164" fontId="0" fillId="0" borderId="0" xfId="0" applyNumberFormat="1"/>
    <xf numFmtId="1" fontId="0" fillId="0" borderId="0" xfId="0" applyNumberFormat="1" applyFont="1"/>
    <xf numFmtId="11" fontId="0" fillId="0" borderId="0" xfId="0" applyNumberFormat="1"/>
    <xf numFmtId="0" fontId="12" fillId="3" borderId="0" xfId="6" applyFont="1" applyFill="1" applyAlignment="1">
      <alignment horizontal="center"/>
    </xf>
    <xf numFmtId="0" fontId="13" fillId="3" borderId="0" xfId="6" applyFont="1" applyFill="1" applyAlignment="1">
      <alignment horizontal="center" vertical="center" wrapText="1"/>
    </xf>
    <xf numFmtId="0" fontId="17" fillId="0" borderId="0" xfId="7" applyFont="1" applyAlignment="1">
      <alignment horizontal="left" vertical="top" wrapText="1"/>
    </xf>
    <xf numFmtId="0" fontId="1" fillId="0" borderId="0" xfId="0" applyFont="1" applyAlignment="1">
      <alignment horizontal="center" vertical="center" textRotation="90"/>
    </xf>
    <xf numFmtId="0" fontId="24" fillId="0" borderId="0" xfId="0" applyFont="1" applyAlignment="1">
      <alignment horizontal="left"/>
    </xf>
    <xf numFmtId="0" fontId="0" fillId="0" borderId="0" xfId="0" applyAlignment="1">
      <alignment horizontal="center" vertical="center" textRotation="90" wrapText="1"/>
    </xf>
    <xf numFmtId="168" fontId="0" fillId="0" borderId="0" xfId="3" applyNumberFormat="1" applyFont="1" applyAlignment="1">
      <alignment horizontal="center" vertical="center" textRotation="90" wrapText="1"/>
    </xf>
    <xf numFmtId="0" fontId="0" fillId="0" borderId="0" xfId="0" applyAlignment="1">
      <alignment horizontal="center" vertical="center" textRotation="90"/>
    </xf>
    <xf numFmtId="2" fontId="0" fillId="0" borderId="0" xfId="0" applyNumberFormat="1"/>
    <xf numFmtId="0" fontId="1" fillId="0" borderId="0" xfId="0" applyFont="1" applyFill="1"/>
    <xf numFmtId="168" fontId="4" fillId="0" borderId="0" xfId="3" applyNumberFormat="1" applyFont="1" applyFill="1" applyBorder="1"/>
  </cellXfs>
  <cellStyles count="9">
    <cellStyle name="Comma" xfId="2" builtinId="3"/>
    <cellStyle name="Currency" xfId="3" builtinId="4"/>
    <cellStyle name="Hyperlink" xfId="1" builtinId="8"/>
    <cellStyle name="Hyperlink 2" xfId="5" xr:uid="{14850C6B-C2D8-4B87-AA37-EA844150F8BB}"/>
    <cellStyle name="Hyperlink 3" xfId="8" xr:uid="{80BC0927-DBB2-4181-ABE3-0E8B6F385FC8}"/>
    <cellStyle name="Normal" xfId="0" builtinId="0"/>
    <cellStyle name="Normal 2" xfId="7" xr:uid="{2E457852-131C-4C09-B1BE-5593009BEC9F}"/>
    <cellStyle name="Normal 3" xfId="6" xr:uid="{F9BCAE97-DC42-4AA2-9071-BD51FA37EF04}"/>
    <cellStyle name="Percent" xfId="4" builtinId="5"/>
  </cellStyles>
  <dxfs count="0"/>
  <tableStyles count="0" defaultTableStyle="TableStyleMedium2" defaultPivotStyle="PivotStyleLight16"/>
  <colors>
    <mruColors>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179293</xdr:colOff>
      <xdr:row>0</xdr:row>
      <xdr:rowOff>798429</xdr:rowOff>
    </xdr:from>
    <xdr:to>
      <xdr:col>8</xdr:col>
      <xdr:colOff>499673</xdr:colOff>
      <xdr:row>4</xdr:row>
      <xdr:rowOff>1122218</xdr:rowOff>
    </xdr:to>
    <xdr:pic>
      <xdr:nvPicPr>
        <xdr:cNvPr id="3" name="Picture 2">
          <a:extLst>
            <a:ext uri="{FF2B5EF4-FFF2-40B4-BE49-F238E27FC236}">
              <a16:creationId xmlns:a16="http://schemas.microsoft.com/office/drawing/2014/main" id="{BFBE4EEE-1ADC-B7F6-AD82-052C10392ADA}"/>
            </a:ext>
          </a:extLst>
        </xdr:cNvPr>
        <xdr:cNvPicPr>
          <a:picLocks noChangeAspect="1"/>
        </xdr:cNvPicPr>
      </xdr:nvPicPr>
      <xdr:blipFill>
        <a:blip xmlns:r="http://schemas.openxmlformats.org/officeDocument/2006/relationships" r:embed="rId1"/>
        <a:stretch>
          <a:fillRect/>
        </a:stretch>
      </xdr:blipFill>
      <xdr:spPr>
        <a:xfrm>
          <a:off x="179293" y="798429"/>
          <a:ext cx="6083871" cy="27898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175260</xdr:rowOff>
    </xdr:from>
    <xdr:to>
      <xdr:col>7</xdr:col>
      <xdr:colOff>328575</xdr:colOff>
      <xdr:row>72</xdr:row>
      <xdr:rowOff>177905</xdr:rowOff>
    </xdr:to>
    <xdr:pic>
      <xdr:nvPicPr>
        <xdr:cNvPr id="2" name="Picture 1">
          <a:extLst>
            <a:ext uri="{FF2B5EF4-FFF2-40B4-BE49-F238E27FC236}">
              <a16:creationId xmlns:a16="http://schemas.microsoft.com/office/drawing/2014/main" id="{ADC75565-C2D5-6B97-ADFB-633075376760}"/>
            </a:ext>
          </a:extLst>
        </xdr:cNvPr>
        <xdr:cNvPicPr>
          <a:picLocks noChangeAspect="1"/>
        </xdr:cNvPicPr>
      </xdr:nvPicPr>
      <xdr:blipFill>
        <a:blip xmlns:r="http://schemas.openxmlformats.org/officeDocument/2006/relationships" r:embed="rId1"/>
        <a:stretch>
          <a:fillRect/>
        </a:stretch>
      </xdr:blipFill>
      <xdr:spPr>
        <a:xfrm>
          <a:off x="0" y="8039100"/>
          <a:ext cx="6554115" cy="53061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83820</xdr:colOff>
      <xdr:row>11</xdr:row>
      <xdr:rowOff>41644</xdr:rowOff>
    </xdr:from>
    <xdr:to>
      <xdr:col>17</xdr:col>
      <xdr:colOff>599885</xdr:colOff>
      <xdr:row>25</xdr:row>
      <xdr:rowOff>31038</xdr:rowOff>
    </xdr:to>
    <xdr:pic>
      <xdr:nvPicPr>
        <xdr:cNvPr id="2" name="Picture 1">
          <a:extLst>
            <a:ext uri="{FF2B5EF4-FFF2-40B4-BE49-F238E27FC236}">
              <a16:creationId xmlns:a16="http://schemas.microsoft.com/office/drawing/2014/main" id="{031D9663-232B-F061-1457-6A2F94F2907D}"/>
            </a:ext>
          </a:extLst>
        </xdr:cNvPr>
        <xdr:cNvPicPr>
          <a:picLocks noChangeAspect="1"/>
        </xdr:cNvPicPr>
      </xdr:nvPicPr>
      <xdr:blipFill>
        <a:blip xmlns:r="http://schemas.openxmlformats.org/officeDocument/2006/relationships" r:embed="rId1"/>
        <a:stretch>
          <a:fillRect/>
        </a:stretch>
      </xdr:blipFill>
      <xdr:spPr>
        <a:xfrm>
          <a:off x="3131820" y="2053324"/>
          <a:ext cx="7831265" cy="2549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drea%20Swanson.DESKTOP-26KLOUE/Grant%20Farm%20Dropbox/MDrive/01_Clients/NWSA/Proposals/2020%20MARAD%20PIDP/05a%20App%20B1%20BCA%201%20(Base%20Case)/Appendix%20B1%20-%20NWSA%20MARAD%20PIDP%20BCA_BASE%20CASE%20ONLY_5.13.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0_MODEL_BenefitSummary"/>
      <sheetName val="1_MODEL_assumptions"/>
      <sheetName val="2_MODEL_Costs"/>
      <sheetName val="3_MODEL_main"/>
      <sheetName val="Results Charts"/>
      <sheetName val="PARAMS"/>
      <sheetName val="BKGRD"/>
      <sheetName val="UNUSED4_MODELsub_ElecReferRacks"/>
    </sheetNames>
    <sheetDataSet>
      <sheetData sheetId="0"/>
      <sheetData sheetId="1"/>
      <sheetData sheetId="2"/>
      <sheetData sheetId="3"/>
      <sheetData sheetId="4"/>
      <sheetData sheetId="5"/>
      <sheetData sheetId="6">
        <row r="23">
          <cell r="C23">
            <v>5.9</v>
          </cell>
        </row>
      </sheetData>
      <sheetData sheetId="7">
        <row r="66">
          <cell r="L66">
            <v>1.6910000000000001</v>
          </cell>
        </row>
        <row r="78">
          <cell r="M78">
            <v>4.2299999999999997E-2</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taxadmin.org/assets/docs/Research/Rates/mf.pdf" TargetMode="External"/><Relationship Id="rId1" Type="http://schemas.openxmlformats.org/officeDocument/2006/relationships/hyperlink" Target="https://www.eia.gov/dnav/pet/hist/LeafHandler.ashx?n=PET&amp;s=EMD_EPD2DXL0_PTE_R1Z_DPG&amp;f=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C2476-2408-4A61-8512-C931205C273C}">
  <dimension ref="A1:I23"/>
  <sheetViews>
    <sheetView tabSelected="1" view="pageLayout" zoomScale="55" zoomScaleNormal="85" zoomScalePageLayoutView="55" workbookViewId="0">
      <selection sqref="A1:I1"/>
    </sheetView>
    <sheetView workbookViewId="1">
      <selection sqref="A1:I1"/>
    </sheetView>
  </sheetViews>
  <sheetFormatPr defaultColWidth="9.109375" defaultRowHeight="14.4" x14ac:dyDescent="0.3"/>
  <cols>
    <col min="1" max="9" width="10" style="42" customWidth="1"/>
    <col min="10" max="16384" width="9.109375" style="42"/>
  </cols>
  <sheetData>
    <row r="1" spans="1:9" ht="134.4" customHeight="1" x14ac:dyDescent="0.5">
      <c r="A1" s="90"/>
      <c r="B1" s="90"/>
      <c r="C1" s="90"/>
      <c r="D1" s="90"/>
      <c r="E1" s="90"/>
      <c r="F1" s="90"/>
      <c r="G1" s="90"/>
      <c r="H1" s="90"/>
      <c r="I1" s="90"/>
    </row>
    <row r="2" spans="1:9" x14ac:dyDescent="0.3">
      <c r="A2" s="43"/>
    </row>
    <row r="3" spans="1:9" s="44" customFormat="1" ht="23.4" x14ac:dyDescent="0.45">
      <c r="A3" s="91"/>
      <c r="B3" s="91"/>
      <c r="C3" s="91"/>
      <c r="D3" s="91"/>
      <c r="E3" s="91"/>
      <c r="F3" s="91"/>
      <c r="G3" s="91"/>
      <c r="H3" s="91"/>
      <c r="I3" s="91"/>
    </row>
    <row r="4" spans="1:9" s="44" customFormat="1" ht="23.4" x14ac:dyDescent="0.45">
      <c r="A4" s="91"/>
      <c r="B4" s="91"/>
      <c r="C4" s="91"/>
      <c r="D4" s="91"/>
      <c r="E4" s="91"/>
      <c r="F4" s="91"/>
      <c r="G4" s="91"/>
      <c r="H4" s="91"/>
      <c r="I4" s="91"/>
    </row>
    <row r="5" spans="1:9" s="44" customFormat="1" ht="123" customHeight="1" x14ac:dyDescent="0.45">
      <c r="A5" s="91"/>
      <c r="B5" s="91"/>
      <c r="C5" s="91"/>
      <c r="D5" s="91"/>
      <c r="E5" s="91"/>
      <c r="F5" s="91"/>
      <c r="G5" s="91"/>
      <c r="H5" s="91"/>
      <c r="I5" s="91"/>
    </row>
    <row r="8" spans="1:9" s="47" customFormat="1" ht="23.4" x14ac:dyDescent="0.45">
      <c r="A8" s="45" t="s">
        <v>122</v>
      </c>
      <c r="B8" s="46"/>
      <c r="C8" s="46"/>
      <c r="D8" s="46"/>
      <c r="E8" s="46"/>
      <c r="F8" s="46"/>
      <c r="G8" s="46"/>
      <c r="H8" s="46"/>
      <c r="I8" s="46"/>
    </row>
    <row r="9" spans="1:9" s="47" customFormat="1" ht="10.95" customHeight="1" x14ac:dyDescent="0.45">
      <c r="A9" s="47" t="s">
        <v>121</v>
      </c>
    </row>
    <row r="10" spans="1:9" s="47" customFormat="1" ht="23.4" x14ac:dyDescent="0.45">
      <c r="A10" s="48" t="s">
        <v>125</v>
      </c>
      <c r="B10" s="46"/>
      <c r="C10" s="46"/>
      <c r="D10" s="46"/>
      <c r="E10" s="46"/>
      <c r="F10" s="46"/>
      <c r="G10" s="46"/>
      <c r="H10" s="46"/>
      <c r="I10" s="46"/>
    </row>
    <row r="11" spans="1:9" s="47" customFormat="1" ht="23.4" x14ac:dyDescent="0.45"/>
    <row r="12" spans="1:9" s="47" customFormat="1" ht="23.4" x14ac:dyDescent="0.45">
      <c r="A12" s="54" t="s">
        <v>123</v>
      </c>
      <c r="E12" s="55" t="s">
        <v>124</v>
      </c>
    </row>
    <row r="16" spans="1:9" ht="68.400000000000006" customHeight="1" x14ac:dyDescent="0.3">
      <c r="A16" s="92"/>
      <c r="B16" s="92"/>
      <c r="C16" s="92"/>
      <c r="D16" s="92"/>
      <c r="E16" s="92"/>
      <c r="F16" s="92"/>
      <c r="G16" s="92"/>
      <c r="H16" s="92"/>
      <c r="I16" s="92"/>
    </row>
    <row r="18" spans="1:5" x14ac:dyDescent="0.3">
      <c r="A18" s="49"/>
      <c r="B18" s="50"/>
    </row>
    <row r="21" spans="1:5" ht="18" x14ac:dyDescent="0.3">
      <c r="E21" s="51"/>
    </row>
    <row r="22" spans="1:5" ht="18" x14ac:dyDescent="0.3">
      <c r="E22" s="52"/>
    </row>
    <row r="23" spans="1:5" ht="15.6" x14ac:dyDescent="0.3">
      <c r="E23" s="53"/>
    </row>
  </sheetData>
  <mergeCells count="3">
    <mergeCell ref="A1:I1"/>
    <mergeCell ref="A3:I5"/>
    <mergeCell ref="A16:I1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0E6D6-2703-48BE-BA34-63B56E944A52}">
  <dimension ref="A1:I126"/>
  <sheetViews>
    <sheetView workbookViewId="0"/>
    <sheetView workbookViewId="1"/>
  </sheetViews>
  <sheetFormatPr defaultRowHeight="14.4" x14ac:dyDescent="0.3"/>
  <sheetData>
    <row r="1" spans="1:9" s="30" customFormat="1" x14ac:dyDescent="0.3">
      <c r="A1" s="31" t="s">
        <v>237</v>
      </c>
    </row>
    <row r="2" spans="1:9" x14ac:dyDescent="0.3">
      <c r="A2" s="30" t="s">
        <v>229</v>
      </c>
      <c r="B2" s="30"/>
    </row>
    <row r="3" spans="1:9" x14ac:dyDescent="0.3">
      <c r="A3" s="4" t="s">
        <v>230</v>
      </c>
      <c r="B3" s="30"/>
    </row>
    <row r="4" spans="1:9" x14ac:dyDescent="0.3">
      <c r="A4" s="30" t="s">
        <v>231</v>
      </c>
      <c r="B4" s="30"/>
    </row>
    <row r="5" spans="1:9" x14ac:dyDescent="0.3">
      <c r="A5" s="30" t="s">
        <v>232</v>
      </c>
      <c r="B5" s="30"/>
    </row>
    <row r="6" spans="1:9" x14ac:dyDescent="0.3">
      <c r="A6" s="30" t="s">
        <v>233</v>
      </c>
      <c r="B6" s="30" t="s">
        <v>234</v>
      </c>
    </row>
    <row r="7" spans="1:9" x14ac:dyDescent="0.3">
      <c r="A7" s="62">
        <v>44652</v>
      </c>
      <c r="B7" s="30">
        <v>5.0579999999999998</v>
      </c>
      <c r="C7" t="s">
        <v>236</v>
      </c>
      <c r="D7" t="s">
        <v>235</v>
      </c>
    </row>
    <row r="8" spans="1:9" x14ac:dyDescent="0.3">
      <c r="A8" s="62">
        <v>44621</v>
      </c>
      <c r="B8" s="30">
        <v>5.1100000000000003</v>
      </c>
      <c r="C8" s="63">
        <f>AVERAGE(B7:B30)</f>
        <v>3.1152500000000001</v>
      </c>
      <c r="D8" s="64">
        <f>AVERAGE(B7:B126)</f>
        <v>3.0883500000000006</v>
      </c>
    </row>
    <row r="9" spans="1:9" x14ac:dyDescent="0.3">
      <c r="A9" s="62">
        <v>44593</v>
      </c>
      <c r="B9" s="30">
        <v>3.99</v>
      </c>
    </row>
    <row r="10" spans="1:9" x14ac:dyDescent="0.3">
      <c r="A10" s="62">
        <v>44562</v>
      </c>
      <c r="B10" s="30">
        <v>3.6219999999999999</v>
      </c>
      <c r="G10" t="s">
        <v>240</v>
      </c>
      <c r="I10" s="65">
        <v>0.34300000000000003</v>
      </c>
    </row>
    <row r="11" spans="1:9" x14ac:dyDescent="0.3">
      <c r="A11" s="62">
        <v>44531</v>
      </c>
      <c r="B11" s="30">
        <v>3.5150000000000001</v>
      </c>
      <c r="G11" t="s">
        <v>238</v>
      </c>
      <c r="H11" s="4" t="s">
        <v>239</v>
      </c>
    </row>
    <row r="12" spans="1:9" x14ac:dyDescent="0.3">
      <c r="A12" s="62">
        <v>44501</v>
      </c>
      <c r="B12" s="30">
        <v>3.6110000000000002</v>
      </c>
    </row>
    <row r="13" spans="1:9" x14ac:dyDescent="0.3">
      <c r="A13" s="62">
        <v>44470</v>
      </c>
      <c r="B13" s="30">
        <v>3.512</v>
      </c>
    </row>
    <row r="14" spans="1:9" x14ac:dyDescent="0.3">
      <c r="A14" s="62">
        <v>44440</v>
      </c>
      <c r="B14" s="30">
        <v>3.26</v>
      </c>
    </row>
    <row r="15" spans="1:9" x14ac:dyDescent="0.3">
      <c r="A15" s="62">
        <v>44409</v>
      </c>
      <c r="B15" s="30">
        <v>3.2130000000000001</v>
      </c>
    </row>
    <row r="16" spans="1:9" x14ac:dyDescent="0.3">
      <c r="A16" s="62">
        <v>44378</v>
      </c>
      <c r="B16" s="30">
        <v>3.21</v>
      </c>
    </row>
    <row r="17" spans="1:2" x14ac:dyDescent="0.3">
      <c r="A17" s="62">
        <v>44348</v>
      </c>
      <c r="B17" s="30">
        <v>3.1779999999999999</v>
      </c>
    </row>
    <row r="18" spans="1:2" x14ac:dyDescent="0.3">
      <c r="A18" s="62">
        <v>44317</v>
      </c>
      <c r="B18" s="30">
        <v>3.0910000000000002</v>
      </c>
    </row>
    <row r="19" spans="1:2" x14ac:dyDescent="0.3">
      <c r="A19" s="62">
        <v>44287</v>
      </c>
      <c r="B19" s="30">
        <v>2.9980000000000002</v>
      </c>
    </row>
    <row r="20" spans="1:2" x14ac:dyDescent="0.3">
      <c r="A20" s="62">
        <v>44256</v>
      </c>
      <c r="B20" s="30">
        <v>3.0430000000000001</v>
      </c>
    </row>
    <row r="21" spans="1:2" x14ac:dyDescent="0.3">
      <c r="A21" s="62">
        <v>44228</v>
      </c>
      <c r="B21" s="30">
        <v>2.7839999999999998</v>
      </c>
    </row>
    <row r="22" spans="1:2" x14ac:dyDescent="0.3">
      <c r="A22" s="62">
        <v>44197</v>
      </c>
      <c r="B22" s="30">
        <v>2.6040000000000001</v>
      </c>
    </row>
    <row r="23" spans="1:2" x14ac:dyDescent="0.3">
      <c r="A23" s="62">
        <v>44166</v>
      </c>
      <c r="B23" s="30">
        <v>2.4929999999999999</v>
      </c>
    </row>
    <row r="24" spans="1:2" x14ac:dyDescent="0.3">
      <c r="A24" s="62">
        <v>44136</v>
      </c>
      <c r="B24" s="30">
        <v>2.3359999999999999</v>
      </c>
    </row>
    <row r="25" spans="1:2" x14ac:dyDescent="0.3">
      <c r="A25" s="62">
        <v>44105</v>
      </c>
      <c r="B25" s="30">
        <v>2.3220000000000001</v>
      </c>
    </row>
    <row r="26" spans="1:2" x14ac:dyDescent="0.3">
      <c r="A26" s="62">
        <v>44075</v>
      </c>
      <c r="B26" s="30">
        <v>2.3479999999999999</v>
      </c>
    </row>
    <row r="27" spans="1:2" x14ac:dyDescent="0.3">
      <c r="A27" s="62">
        <v>44044</v>
      </c>
      <c r="B27" s="30">
        <v>2.37</v>
      </c>
    </row>
    <row r="28" spans="1:2" x14ac:dyDescent="0.3">
      <c r="A28" s="62">
        <v>44013</v>
      </c>
      <c r="B28" s="30">
        <v>2.3820000000000001</v>
      </c>
    </row>
    <row r="29" spans="1:2" x14ac:dyDescent="0.3">
      <c r="A29" s="62">
        <v>43983</v>
      </c>
      <c r="B29" s="30">
        <v>2.363</v>
      </c>
    </row>
    <row r="30" spans="1:2" x14ac:dyDescent="0.3">
      <c r="A30" s="62">
        <v>43952</v>
      </c>
      <c r="B30" s="30">
        <v>2.3530000000000002</v>
      </c>
    </row>
    <row r="31" spans="1:2" x14ac:dyDescent="0.3">
      <c r="A31" s="62">
        <v>43922</v>
      </c>
      <c r="B31" s="30">
        <v>2.4430000000000001</v>
      </c>
    </row>
    <row r="32" spans="1:2" x14ac:dyDescent="0.3">
      <c r="A32" s="62">
        <v>43891</v>
      </c>
      <c r="B32" s="30">
        <v>2.6339999999999999</v>
      </c>
    </row>
    <row r="33" spans="1:2" x14ac:dyDescent="0.3">
      <c r="A33" s="62">
        <v>43862</v>
      </c>
      <c r="B33" s="30">
        <v>2.8130000000000002</v>
      </c>
    </row>
    <row r="34" spans="1:2" x14ac:dyDescent="0.3">
      <c r="A34" s="62">
        <v>43831</v>
      </c>
      <c r="B34" s="30">
        <v>2.9620000000000002</v>
      </c>
    </row>
    <row r="35" spans="1:2" x14ac:dyDescent="0.3">
      <c r="A35" s="62">
        <v>43800</v>
      </c>
      <c r="B35" s="30">
        <v>2.93</v>
      </c>
    </row>
    <row r="36" spans="1:2" x14ac:dyDescent="0.3">
      <c r="A36" s="62">
        <v>43770</v>
      </c>
      <c r="B36" s="30">
        <v>2.9169999999999998</v>
      </c>
    </row>
    <row r="37" spans="1:2" x14ac:dyDescent="0.3">
      <c r="A37" s="62">
        <v>43739</v>
      </c>
      <c r="B37" s="30">
        <v>2.9209999999999998</v>
      </c>
    </row>
    <row r="38" spans="1:2" x14ac:dyDescent="0.3">
      <c r="A38" s="62">
        <v>43709</v>
      </c>
      <c r="B38" s="30">
        <v>2.9079999999999999</v>
      </c>
    </row>
    <row r="39" spans="1:2" x14ac:dyDescent="0.3">
      <c r="A39" s="62">
        <v>43678</v>
      </c>
      <c r="B39" s="30">
        <v>2.8980000000000001</v>
      </c>
    </row>
    <row r="40" spans="1:2" x14ac:dyDescent="0.3">
      <c r="A40" s="62">
        <v>43647</v>
      </c>
      <c r="B40" s="30">
        <v>2.9369999999999998</v>
      </c>
    </row>
    <row r="41" spans="1:2" x14ac:dyDescent="0.3">
      <c r="A41" s="62">
        <v>43617</v>
      </c>
      <c r="B41" s="30">
        <v>2.9780000000000002</v>
      </c>
    </row>
    <row r="42" spans="1:2" x14ac:dyDescent="0.3">
      <c r="A42" s="62">
        <v>43586</v>
      </c>
      <c r="B42" s="30">
        <v>3.0339999999999998</v>
      </c>
    </row>
    <row r="43" spans="1:2" x14ac:dyDescent="0.3">
      <c r="A43" s="62">
        <v>43556</v>
      </c>
      <c r="B43" s="30">
        <v>3.0190000000000001</v>
      </c>
    </row>
    <row r="44" spans="1:2" x14ac:dyDescent="0.3">
      <c r="A44" s="62">
        <v>43525</v>
      </c>
      <c r="B44" s="30">
        <v>2.9860000000000002</v>
      </c>
    </row>
    <row r="45" spans="1:2" x14ac:dyDescent="0.3">
      <c r="A45" s="62">
        <v>43497</v>
      </c>
      <c r="B45" s="30">
        <v>2.907</v>
      </c>
    </row>
    <row r="46" spans="1:2" x14ac:dyDescent="0.3">
      <c r="A46" s="62">
        <v>43466</v>
      </c>
      <c r="B46" s="30">
        <v>2.9</v>
      </c>
    </row>
    <row r="47" spans="1:2" x14ac:dyDescent="0.3">
      <c r="A47" s="62">
        <v>43435</v>
      </c>
      <c r="B47" s="30">
        <v>3.0249999999999999</v>
      </c>
    </row>
    <row r="48" spans="1:2" x14ac:dyDescent="0.3">
      <c r="A48" s="62">
        <v>43405</v>
      </c>
      <c r="B48" s="30">
        <v>3.1760000000000002</v>
      </c>
    </row>
    <row r="49" spans="1:2" x14ac:dyDescent="0.3">
      <c r="A49" s="62">
        <v>43374</v>
      </c>
      <c r="B49" s="30">
        <v>3.2330000000000001</v>
      </c>
    </row>
    <row r="50" spans="1:2" x14ac:dyDescent="0.3">
      <c r="A50" s="62">
        <v>43344</v>
      </c>
      <c r="B50" s="30">
        <v>3.129</v>
      </c>
    </row>
    <row r="51" spans="1:2" x14ac:dyDescent="0.3">
      <c r="A51" s="62">
        <v>43313</v>
      </c>
      <c r="B51" s="30">
        <v>3.089</v>
      </c>
    </row>
    <row r="52" spans="1:2" x14ac:dyDescent="0.3">
      <c r="A52" s="62">
        <v>43282</v>
      </c>
      <c r="B52" s="30">
        <v>3.101</v>
      </c>
    </row>
    <row r="53" spans="1:2" x14ac:dyDescent="0.3">
      <c r="A53" s="62">
        <v>43252</v>
      </c>
      <c r="B53" s="30">
        <v>3.13</v>
      </c>
    </row>
    <row r="54" spans="1:2" x14ac:dyDescent="0.3">
      <c r="A54" s="62">
        <v>43221</v>
      </c>
      <c r="B54" s="30">
        <v>3.133</v>
      </c>
    </row>
    <row r="55" spans="1:2" x14ac:dyDescent="0.3">
      <c r="A55" s="62">
        <v>43191</v>
      </c>
      <c r="B55" s="30">
        <v>2.9889999999999999</v>
      </c>
    </row>
    <row r="56" spans="1:2" x14ac:dyDescent="0.3">
      <c r="A56" s="62">
        <v>43160</v>
      </c>
      <c r="B56" s="30">
        <v>2.88</v>
      </c>
    </row>
    <row r="57" spans="1:2" x14ac:dyDescent="0.3">
      <c r="A57" s="62">
        <v>43132</v>
      </c>
      <c r="B57" s="30">
        <v>2.95</v>
      </c>
    </row>
    <row r="58" spans="1:2" x14ac:dyDescent="0.3">
      <c r="A58" s="62">
        <v>43101</v>
      </c>
      <c r="B58" s="30">
        <v>2.91</v>
      </c>
    </row>
    <row r="59" spans="1:2" x14ac:dyDescent="0.3">
      <c r="A59" s="62">
        <v>43070</v>
      </c>
      <c r="B59" s="30">
        <v>2.786</v>
      </c>
    </row>
    <row r="60" spans="1:2" x14ac:dyDescent="0.3">
      <c r="A60" s="62">
        <v>43040</v>
      </c>
      <c r="B60" s="30">
        <v>2.786</v>
      </c>
    </row>
    <row r="61" spans="1:2" x14ac:dyDescent="0.3">
      <c r="A61" s="62">
        <v>43009</v>
      </c>
      <c r="B61" s="30">
        <v>2.7240000000000002</v>
      </c>
    </row>
    <row r="62" spans="1:2" x14ac:dyDescent="0.3">
      <c r="A62" s="62">
        <v>42979</v>
      </c>
      <c r="B62" s="30">
        <v>2.7480000000000002</v>
      </c>
    </row>
    <row r="63" spans="1:2" x14ac:dyDescent="0.3">
      <c r="A63" s="62">
        <v>42948</v>
      </c>
      <c r="B63" s="30">
        <v>2.5219999999999998</v>
      </c>
    </row>
    <row r="64" spans="1:2" x14ac:dyDescent="0.3">
      <c r="A64" s="62">
        <v>42917</v>
      </c>
      <c r="B64" s="30">
        <v>2.427</v>
      </c>
    </row>
    <row r="65" spans="1:2" x14ac:dyDescent="0.3">
      <c r="A65" s="62">
        <v>42887</v>
      </c>
      <c r="B65" s="30">
        <v>2.4430000000000001</v>
      </c>
    </row>
    <row r="66" spans="1:2" x14ac:dyDescent="0.3">
      <c r="A66" s="62">
        <v>42856</v>
      </c>
      <c r="B66" s="30">
        <v>2.4980000000000002</v>
      </c>
    </row>
    <row r="67" spans="1:2" x14ac:dyDescent="0.3">
      <c r="A67" s="62">
        <v>42826</v>
      </c>
      <c r="B67" s="30">
        <v>2.516</v>
      </c>
    </row>
    <row r="68" spans="1:2" x14ac:dyDescent="0.3">
      <c r="A68" s="62">
        <v>42795</v>
      </c>
      <c r="B68" s="30">
        <v>2.5059999999999998</v>
      </c>
    </row>
    <row r="69" spans="1:2" x14ac:dyDescent="0.3">
      <c r="A69" s="62">
        <v>42767</v>
      </c>
      <c r="B69" s="30">
        <v>2.52</v>
      </c>
    </row>
    <row r="70" spans="1:2" x14ac:dyDescent="0.3">
      <c r="A70" s="62">
        <v>42736</v>
      </c>
      <c r="B70" s="30">
        <v>2.5139999999999998</v>
      </c>
    </row>
    <row r="71" spans="1:2" x14ac:dyDescent="0.3">
      <c r="A71" s="62">
        <v>42705</v>
      </c>
      <c r="B71" s="30">
        <v>2.448</v>
      </c>
    </row>
    <row r="72" spans="1:2" x14ac:dyDescent="0.3">
      <c r="A72" s="62">
        <v>42675</v>
      </c>
      <c r="B72" s="30">
        <v>2.3660000000000001</v>
      </c>
    </row>
    <row r="73" spans="1:2" x14ac:dyDescent="0.3">
      <c r="A73" s="62">
        <v>42644</v>
      </c>
      <c r="B73" s="30">
        <v>2.3690000000000002</v>
      </c>
    </row>
    <row r="74" spans="1:2" x14ac:dyDescent="0.3">
      <c r="A74" s="62">
        <v>42614</v>
      </c>
      <c r="B74" s="30">
        <v>2.323</v>
      </c>
    </row>
    <row r="75" spans="1:2" x14ac:dyDescent="0.3">
      <c r="A75" s="62">
        <v>42583</v>
      </c>
      <c r="B75" s="30">
        <v>2.278</v>
      </c>
    </row>
    <row r="76" spans="1:2" x14ac:dyDescent="0.3">
      <c r="A76" s="62">
        <v>42552</v>
      </c>
      <c r="B76" s="30">
        <v>2.3340000000000001</v>
      </c>
    </row>
    <row r="77" spans="1:2" x14ac:dyDescent="0.3">
      <c r="A77" s="62">
        <v>42522</v>
      </c>
      <c r="B77" s="30">
        <v>2.3639999999999999</v>
      </c>
    </row>
    <row r="78" spans="1:2" x14ac:dyDescent="0.3">
      <c r="A78" s="62">
        <v>42491</v>
      </c>
      <c r="B78" s="30">
        <v>2.2679999999999998</v>
      </c>
    </row>
    <row r="79" spans="1:2" x14ac:dyDescent="0.3">
      <c r="A79" s="62">
        <v>42461</v>
      </c>
      <c r="B79" s="30">
        <v>2.113</v>
      </c>
    </row>
    <row r="80" spans="1:2" x14ac:dyDescent="0.3">
      <c r="A80" s="62">
        <v>42430</v>
      </c>
      <c r="B80" s="30">
        <v>2.052</v>
      </c>
    </row>
    <row r="81" spans="1:2" x14ac:dyDescent="0.3">
      <c r="A81" s="62">
        <v>42401</v>
      </c>
      <c r="B81" s="30">
        <v>1.9570000000000001</v>
      </c>
    </row>
    <row r="82" spans="1:2" x14ac:dyDescent="0.3">
      <c r="A82" s="62">
        <v>42370</v>
      </c>
      <c r="B82" s="30">
        <v>2.085</v>
      </c>
    </row>
    <row r="83" spans="1:2" x14ac:dyDescent="0.3">
      <c r="A83" s="62">
        <v>42339</v>
      </c>
      <c r="B83" s="30">
        <v>2.2309999999999999</v>
      </c>
    </row>
    <row r="84" spans="1:2" x14ac:dyDescent="0.3">
      <c r="A84" s="62">
        <v>42309</v>
      </c>
      <c r="B84" s="30">
        <v>2.39</v>
      </c>
    </row>
    <row r="85" spans="1:2" x14ac:dyDescent="0.3">
      <c r="A85" s="62">
        <v>42278</v>
      </c>
      <c r="B85" s="30">
        <v>2.431</v>
      </c>
    </row>
    <row r="86" spans="1:2" x14ac:dyDescent="0.3">
      <c r="A86" s="62">
        <v>42248</v>
      </c>
      <c r="B86" s="30">
        <v>2.4609999999999999</v>
      </c>
    </row>
    <row r="87" spans="1:2" x14ac:dyDescent="0.3">
      <c r="A87" s="62">
        <v>42217</v>
      </c>
      <c r="B87" s="30">
        <v>2.5680000000000001</v>
      </c>
    </row>
    <row r="88" spans="1:2" x14ac:dyDescent="0.3">
      <c r="A88" s="62">
        <v>42186</v>
      </c>
      <c r="B88" s="30">
        <v>2.7679999999999998</v>
      </c>
    </row>
    <row r="89" spans="1:2" x14ac:dyDescent="0.3">
      <c r="A89" s="62">
        <v>42156</v>
      </c>
      <c r="B89" s="30">
        <v>2.8420000000000001</v>
      </c>
    </row>
    <row r="90" spans="1:2" x14ac:dyDescent="0.3">
      <c r="A90" s="62">
        <v>42125</v>
      </c>
      <c r="B90" s="30">
        <v>2.8660000000000001</v>
      </c>
    </row>
    <row r="91" spans="1:2" x14ac:dyDescent="0.3">
      <c r="A91" s="62">
        <v>42095</v>
      </c>
      <c r="B91" s="30">
        <v>2.7839999999999998</v>
      </c>
    </row>
    <row r="92" spans="1:2" x14ac:dyDescent="0.3">
      <c r="A92" s="62">
        <v>42064</v>
      </c>
      <c r="B92" s="30">
        <v>2.8570000000000002</v>
      </c>
    </row>
    <row r="93" spans="1:2" x14ac:dyDescent="0.3">
      <c r="A93" s="62">
        <v>42036</v>
      </c>
      <c r="B93" s="30">
        <v>2.8359999999999999</v>
      </c>
    </row>
    <row r="94" spans="1:2" x14ac:dyDescent="0.3">
      <c r="A94" s="62">
        <v>42005</v>
      </c>
      <c r="B94" s="30">
        <v>2.984</v>
      </c>
    </row>
    <row r="95" spans="1:2" x14ac:dyDescent="0.3">
      <c r="A95" s="62">
        <v>41974</v>
      </c>
      <c r="B95" s="30">
        <v>3.3029999999999999</v>
      </c>
    </row>
    <row r="96" spans="1:2" x14ac:dyDescent="0.3">
      <c r="A96" s="62">
        <v>41944</v>
      </c>
      <c r="B96" s="30">
        <v>3.4849999999999999</v>
      </c>
    </row>
    <row r="97" spans="1:2" x14ac:dyDescent="0.3">
      <c r="A97" s="62">
        <v>41913</v>
      </c>
      <c r="B97" s="30">
        <v>3.6150000000000002</v>
      </c>
    </row>
    <row r="98" spans="1:2" x14ac:dyDescent="0.3">
      <c r="A98" s="62">
        <v>41883</v>
      </c>
      <c r="B98" s="30">
        <v>3.7349999999999999</v>
      </c>
    </row>
    <row r="99" spans="1:2" x14ac:dyDescent="0.3">
      <c r="A99" s="62">
        <v>41852</v>
      </c>
      <c r="B99" s="30">
        <v>3.794</v>
      </c>
    </row>
    <row r="100" spans="1:2" x14ac:dyDescent="0.3">
      <c r="A100" s="62">
        <v>41821</v>
      </c>
      <c r="B100" s="30">
        <v>3.85</v>
      </c>
    </row>
    <row r="101" spans="1:2" x14ac:dyDescent="0.3">
      <c r="A101" s="62">
        <v>41791</v>
      </c>
      <c r="B101" s="30">
        <v>3.8879999999999999</v>
      </c>
    </row>
    <row r="102" spans="1:2" x14ac:dyDescent="0.3">
      <c r="A102" s="62">
        <v>41760</v>
      </c>
      <c r="B102" s="30">
        <v>3.9260000000000002</v>
      </c>
    </row>
    <row r="103" spans="1:2" x14ac:dyDescent="0.3">
      <c r="A103" s="62">
        <v>41730</v>
      </c>
      <c r="B103" s="30">
        <v>3.9489999999999998</v>
      </c>
    </row>
    <row r="104" spans="1:2" x14ac:dyDescent="0.3">
      <c r="A104" s="62">
        <v>41699</v>
      </c>
      <c r="B104" s="30">
        <v>3.9649999999999999</v>
      </c>
    </row>
    <row r="105" spans="1:2" x14ac:dyDescent="0.3">
      <c r="A105" s="62">
        <v>41671</v>
      </c>
      <c r="B105" s="30">
        <v>3.903</v>
      </c>
    </row>
    <row r="106" spans="1:2" x14ac:dyDescent="0.3">
      <c r="A106" s="62">
        <v>41640</v>
      </c>
      <c r="B106" s="30">
        <v>3.84</v>
      </c>
    </row>
    <row r="107" spans="1:2" x14ac:dyDescent="0.3">
      <c r="A107" s="62">
        <v>41609</v>
      </c>
      <c r="B107" s="30">
        <v>3.8439999999999999</v>
      </c>
    </row>
    <row r="108" spans="1:2" x14ac:dyDescent="0.3">
      <c r="A108" s="62">
        <v>41579</v>
      </c>
      <c r="B108" s="30">
        <v>3.7970000000000002</v>
      </c>
    </row>
    <row r="109" spans="1:2" x14ac:dyDescent="0.3">
      <c r="A109" s="62">
        <v>41548</v>
      </c>
      <c r="B109" s="30">
        <v>3.8330000000000002</v>
      </c>
    </row>
    <row r="110" spans="1:2" x14ac:dyDescent="0.3">
      <c r="A110" s="62">
        <v>41518</v>
      </c>
      <c r="B110" s="30">
        <v>3.9020000000000001</v>
      </c>
    </row>
    <row r="111" spans="1:2" x14ac:dyDescent="0.3">
      <c r="A111" s="62">
        <v>41487</v>
      </c>
      <c r="B111" s="30">
        <v>3.847</v>
      </c>
    </row>
    <row r="112" spans="1:2" x14ac:dyDescent="0.3">
      <c r="A112" s="62">
        <v>41456</v>
      </c>
      <c r="B112" s="30">
        <v>3.802</v>
      </c>
    </row>
    <row r="113" spans="1:2" x14ac:dyDescent="0.3">
      <c r="A113" s="62">
        <v>41426</v>
      </c>
      <c r="B113" s="30">
        <v>3.7639999999999998</v>
      </c>
    </row>
    <row r="114" spans="1:2" x14ac:dyDescent="0.3">
      <c r="A114" s="62">
        <v>41395</v>
      </c>
      <c r="B114" s="30">
        <v>3.8029999999999999</v>
      </c>
    </row>
    <row r="115" spans="1:2" x14ac:dyDescent="0.3">
      <c r="A115" s="62">
        <v>41365</v>
      </c>
      <c r="B115" s="30">
        <v>3.9020000000000001</v>
      </c>
    </row>
    <row r="116" spans="1:2" x14ac:dyDescent="0.3">
      <c r="A116" s="62">
        <v>41334</v>
      </c>
      <c r="B116" s="30">
        <v>4.0369999999999999</v>
      </c>
    </row>
    <row r="117" spans="1:2" x14ac:dyDescent="0.3">
      <c r="A117" s="62">
        <v>41306</v>
      </c>
      <c r="B117" s="30">
        <v>4.0869999999999997</v>
      </c>
    </row>
    <row r="118" spans="1:2" x14ac:dyDescent="0.3">
      <c r="A118" s="62">
        <v>41275</v>
      </c>
      <c r="B118" s="30">
        <v>3.91</v>
      </c>
    </row>
    <row r="119" spans="1:2" x14ac:dyDescent="0.3">
      <c r="A119" s="62">
        <v>41244</v>
      </c>
      <c r="B119" s="30">
        <v>3.9380000000000002</v>
      </c>
    </row>
    <row r="120" spans="1:2" x14ac:dyDescent="0.3">
      <c r="A120" s="62">
        <v>41214</v>
      </c>
      <c r="B120" s="30">
        <v>3.9369999999999998</v>
      </c>
    </row>
    <row r="121" spans="1:2" x14ac:dyDescent="0.3">
      <c r="A121" s="62">
        <v>41183</v>
      </c>
      <c r="B121" s="30">
        <v>3.9969999999999999</v>
      </c>
    </row>
    <row r="122" spans="1:2" x14ac:dyDescent="0.3">
      <c r="A122" s="62">
        <v>41153</v>
      </c>
      <c r="B122" s="30">
        <v>4.0430000000000001</v>
      </c>
    </row>
    <row r="123" spans="1:2" x14ac:dyDescent="0.3">
      <c r="A123" s="62">
        <v>41122</v>
      </c>
      <c r="B123" s="30">
        <v>3.9180000000000001</v>
      </c>
    </row>
    <row r="124" spans="1:2" x14ac:dyDescent="0.3">
      <c r="A124" s="62">
        <v>41091</v>
      </c>
      <c r="B124" s="30">
        <v>3.6859999999999999</v>
      </c>
    </row>
    <row r="125" spans="1:2" x14ac:dyDescent="0.3">
      <c r="A125" s="62">
        <v>41061</v>
      </c>
      <c r="B125" s="30">
        <v>3.6989999999999998</v>
      </c>
    </row>
    <row r="126" spans="1:2" x14ac:dyDescent="0.3">
      <c r="A126" s="62">
        <v>41030</v>
      </c>
      <c r="B126" s="30">
        <v>3.94</v>
      </c>
    </row>
  </sheetData>
  <hyperlinks>
    <hyperlink ref="A3" r:id="rId1" xr:uid="{A28AAFBB-FA7D-4328-A4E1-C7B28E1F8B03}"/>
    <hyperlink ref="H11" r:id="rId2" xr:uid="{5050C373-2AD2-4BFD-8F5A-5A735FA83B4E}"/>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5F571-948D-4DAA-9FC0-6530F9670843}">
  <dimension ref="A1:T57"/>
  <sheetViews>
    <sheetView workbookViewId="0">
      <selection activeCell="B11" sqref="B11"/>
    </sheetView>
    <sheetView workbookViewId="1"/>
  </sheetViews>
  <sheetFormatPr defaultRowHeight="14.4" x14ac:dyDescent="0.3"/>
  <cols>
    <col min="2" max="2" width="41" customWidth="1"/>
    <col min="4" max="4" width="12" customWidth="1"/>
    <col min="5" max="5" width="13" customWidth="1"/>
    <col min="7" max="7" width="11.33203125" customWidth="1"/>
    <col min="8" max="8" width="11.109375" customWidth="1"/>
    <col min="10" max="10" width="10.5546875" customWidth="1"/>
    <col min="15" max="15" width="12.88671875" customWidth="1"/>
  </cols>
  <sheetData>
    <row r="1" spans="1:20" x14ac:dyDescent="0.3">
      <c r="A1" s="31" t="s">
        <v>118</v>
      </c>
    </row>
    <row r="2" spans="1:20" x14ac:dyDescent="0.3">
      <c r="A2" t="s">
        <v>16</v>
      </c>
    </row>
    <row r="3" spans="1:20" x14ac:dyDescent="0.3">
      <c r="B3" t="s">
        <v>17</v>
      </c>
    </row>
    <row r="4" spans="1:20" x14ac:dyDescent="0.3">
      <c r="B4" t="s">
        <v>18</v>
      </c>
    </row>
    <row r="5" spans="1:20" x14ac:dyDescent="0.3">
      <c r="B5" t="s">
        <v>19</v>
      </c>
    </row>
    <row r="6" spans="1:20" x14ac:dyDescent="0.3">
      <c r="G6" s="1" t="s">
        <v>55</v>
      </c>
      <c r="L6" s="5" t="s">
        <v>119</v>
      </c>
      <c r="R6" s="1" t="s">
        <v>79</v>
      </c>
    </row>
    <row r="7" spans="1:20" ht="44.25" customHeight="1" x14ac:dyDescent="0.3">
      <c r="A7" t="s">
        <v>20</v>
      </c>
      <c r="C7" s="18" t="s">
        <v>26</v>
      </c>
      <c r="D7" s="18" t="s">
        <v>29</v>
      </c>
      <c r="E7" s="18" t="s">
        <v>30</v>
      </c>
      <c r="F7" s="18" t="s">
        <v>27</v>
      </c>
      <c r="G7" s="18" t="s">
        <v>56</v>
      </c>
      <c r="H7" s="18" t="s">
        <v>60</v>
      </c>
      <c r="I7" s="18" t="s">
        <v>61</v>
      </c>
      <c r="J7" s="18" t="s">
        <v>62</v>
      </c>
      <c r="K7" s="18" t="s">
        <v>64</v>
      </c>
      <c r="L7" s="18" t="s">
        <v>65</v>
      </c>
      <c r="M7" s="18" t="s">
        <v>68</v>
      </c>
      <c r="N7" s="18" t="s">
        <v>70</v>
      </c>
      <c r="O7" s="18" t="s">
        <v>72</v>
      </c>
      <c r="P7" s="18" t="s">
        <v>73</v>
      </c>
      <c r="Q7" s="18" t="s">
        <v>74</v>
      </c>
      <c r="R7" s="18" t="s">
        <v>76</v>
      </c>
      <c r="S7" s="18" t="s">
        <v>77</v>
      </c>
      <c r="T7" s="18" t="s">
        <v>78</v>
      </c>
    </row>
    <row r="8" spans="1:20" x14ac:dyDescent="0.3">
      <c r="B8" t="s">
        <v>21</v>
      </c>
      <c r="C8" t="s">
        <v>12</v>
      </c>
      <c r="D8" t="s">
        <v>28</v>
      </c>
      <c r="E8" t="s">
        <v>12</v>
      </c>
      <c r="F8" t="s">
        <v>28</v>
      </c>
      <c r="G8" t="s">
        <v>12</v>
      </c>
      <c r="H8" t="s">
        <v>12</v>
      </c>
      <c r="J8" t="s">
        <v>12</v>
      </c>
      <c r="K8" t="s">
        <v>12</v>
      </c>
      <c r="L8" t="s">
        <v>28</v>
      </c>
      <c r="M8" t="s">
        <v>69</v>
      </c>
      <c r="N8" t="s">
        <v>71</v>
      </c>
      <c r="O8" t="s">
        <v>71</v>
      </c>
      <c r="P8" t="s">
        <v>71</v>
      </c>
      <c r="Q8" t="s">
        <v>71</v>
      </c>
      <c r="R8" t="s">
        <v>12</v>
      </c>
      <c r="S8" t="s">
        <v>12</v>
      </c>
      <c r="T8" t="s">
        <v>28</v>
      </c>
    </row>
    <row r="9" spans="1:20" x14ac:dyDescent="0.3">
      <c r="B9" t="s">
        <v>22</v>
      </c>
      <c r="C9" t="s">
        <v>12</v>
      </c>
      <c r="D9" t="s">
        <v>28</v>
      </c>
      <c r="E9" t="s">
        <v>28</v>
      </c>
      <c r="F9" t="s">
        <v>12</v>
      </c>
      <c r="G9" t="s">
        <v>58</v>
      </c>
      <c r="H9" t="s">
        <v>58</v>
      </c>
      <c r="J9" t="s">
        <v>28</v>
      </c>
      <c r="K9" t="s">
        <v>28</v>
      </c>
      <c r="L9" t="s">
        <v>66</v>
      </c>
      <c r="N9" t="s">
        <v>71</v>
      </c>
      <c r="O9" t="s">
        <v>71</v>
      </c>
      <c r="P9" t="s">
        <v>12</v>
      </c>
      <c r="Q9" t="s">
        <v>71</v>
      </c>
      <c r="R9" t="s">
        <v>12</v>
      </c>
      <c r="S9" t="s">
        <v>12</v>
      </c>
      <c r="T9" t="s">
        <v>28</v>
      </c>
    </row>
    <row r="10" spans="1:20" x14ac:dyDescent="0.3">
      <c r="B10" t="s">
        <v>120</v>
      </c>
      <c r="C10" t="s">
        <v>12</v>
      </c>
      <c r="D10" t="s">
        <v>12</v>
      </c>
      <c r="E10" t="s">
        <v>12</v>
      </c>
      <c r="F10" t="s">
        <v>12</v>
      </c>
      <c r="G10" t="s">
        <v>12</v>
      </c>
      <c r="H10" t="s">
        <v>12</v>
      </c>
      <c r="I10" t="s">
        <v>28</v>
      </c>
      <c r="J10" t="s">
        <v>12</v>
      </c>
      <c r="K10" t="s">
        <v>12</v>
      </c>
      <c r="L10" t="s">
        <v>28</v>
      </c>
      <c r="N10" t="s">
        <v>71</v>
      </c>
      <c r="O10" t="s">
        <v>71</v>
      </c>
      <c r="P10" t="s">
        <v>71</v>
      </c>
      <c r="Q10" t="s">
        <v>71</v>
      </c>
      <c r="R10" t="s">
        <v>12</v>
      </c>
      <c r="S10" t="s">
        <v>12</v>
      </c>
      <c r="T10" t="s">
        <v>28</v>
      </c>
    </row>
    <row r="11" spans="1:20" x14ac:dyDescent="0.3">
      <c r="B11" t="s">
        <v>0</v>
      </c>
      <c r="C11" t="s">
        <v>12</v>
      </c>
      <c r="D11" t="s">
        <v>28</v>
      </c>
      <c r="E11" t="s">
        <v>12</v>
      </c>
      <c r="F11" t="s">
        <v>28</v>
      </c>
      <c r="G11" t="s">
        <v>12</v>
      </c>
      <c r="H11" t="s">
        <v>12</v>
      </c>
      <c r="I11" t="s">
        <v>12</v>
      </c>
      <c r="J11" t="s">
        <v>12</v>
      </c>
      <c r="K11" t="s">
        <v>12</v>
      </c>
      <c r="L11" t="s">
        <v>28</v>
      </c>
      <c r="M11" t="s">
        <v>69</v>
      </c>
      <c r="N11" t="s">
        <v>71</v>
      </c>
      <c r="O11" t="s">
        <v>71</v>
      </c>
      <c r="P11" t="s">
        <v>71</v>
      </c>
      <c r="Q11" t="s">
        <v>71</v>
      </c>
      <c r="R11" t="s">
        <v>12</v>
      </c>
      <c r="S11" t="s">
        <v>12</v>
      </c>
      <c r="T11" t="s">
        <v>28</v>
      </c>
    </row>
    <row r="12" spans="1:20" x14ac:dyDescent="0.3">
      <c r="B12" t="s">
        <v>57</v>
      </c>
      <c r="C12" t="s">
        <v>12</v>
      </c>
      <c r="D12" t="s">
        <v>12</v>
      </c>
      <c r="E12" t="s">
        <v>12</v>
      </c>
      <c r="F12" t="s">
        <v>28</v>
      </c>
      <c r="G12" t="s">
        <v>12</v>
      </c>
      <c r="H12" t="s">
        <v>12</v>
      </c>
      <c r="I12" t="s">
        <v>12</v>
      </c>
      <c r="J12" t="s">
        <v>12</v>
      </c>
      <c r="K12" t="s">
        <v>12</v>
      </c>
      <c r="L12" t="s">
        <v>28</v>
      </c>
      <c r="N12" t="s">
        <v>71</v>
      </c>
      <c r="O12" t="s">
        <v>71</v>
      </c>
      <c r="P12" t="s">
        <v>71</v>
      </c>
      <c r="Q12" t="s">
        <v>71</v>
      </c>
      <c r="R12" t="s">
        <v>12</v>
      </c>
      <c r="S12" t="s">
        <v>12</v>
      </c>
      <c r="T12" t="s">
        <v>28</v>
      </c>
    </row>
    <row r="13" spans="1:20" x14ac:dyDescent="0.3">
      <c r="B13" s="9" t="s">
        <v>4</v>
      </c>
      <c r="G13" t="s">
        <v>59</v>
      </c>
      <c r="J13" t="s">
        <v>63</v>
      </c>
      <c r="L13" t="s">
        <v>67</v>
      </c>
      <c r="N13" t="s">
        <v>101</v>
      </c>
      <c r="P13" t="s">
        <v>71</v>
      </c>
      <c r="Q13" t="s">
        <v>71</v>
      </c>
      <c r="R13" t="s">
        <v>12</v>
      </c>
      <c r="S13" t="s">
        <v>12</v>
      </c>
      <c r="T13" t="s">
        <v>28</v>
      </c>
    </row>
    <row r="14" spans="1:20" x14ac:dyDescent="0.3">
      <c r="A14" t="s">
        <v>31</v>
      </c>
    </row>
    <row r="15" spans="1:20" x14ac:dyDescent="0.3">
      <c r="B15" t="s">
        <v>32</v>
      </c>
    </row>
    <row r="16" spans="1:20" x14ac:dyDescent="0.3">
      <c r="B16" t="s">
        <v>33</v>
      </c>
    </row>
    <row r="17" spans="1:3" x14ac:dyDescent="0.3">
      <c r="B17" t="s">
        <v>34</v>
      </c>
    </row>
    <row r="18" spans="1:3" x14ac:dyDescent="0.3">
      <c r="B18" t="s">
        <v>35</v>
      </c>
    </row>
    <row r="20" spans="1:3" x14ac:dyDescent="0.3">
      <c r="A20" t="s">
        <v>36</v>
      </c>
    </row>
    <row r="21" spans="1:3" x14ac:dyDescent="0.3">
      <c r="B21" t="s">
        <v>37</v>
      </c>
    </row>
    <row r="22" spans="1:3" x14ac:dyDescent="0.3">
      <c r="B22" t="s">
        <v>38</v>
      </c>
    </row>
    <row r="24" spans="1:3" x14ac:dyDescent="0.3">
      <c r="A24" t="s">
        <v>39</v>
      </c>
    </row>
    <row r="25" spans="1:3" x14ac:dyDescent="0.3">
      <c r="B25" t="s">
        <v>40</v>
      </c>
      <c r="C25" s="3">
        <v>7.0000000000000007E-2</v>
      </c>
    </row>
    <row r="27" spans="1:3" x14ac:dyDescent="0.3">
      <c r="A27" t="s">
        <v>41</v>
      </c>
    </row>
    <row r="28" spans="1:3" x14ac:dyDescent="0.3">
      <c r="B28" t="s">
        <v>42</v>
      </c>
      <c r="C28">
        <v>2020</v>
      </c>
    </row>
    <row r="29" spans="1:3" x14ac:dyDescent="0.3">
      <c r="B29" t="s">
        <v>43</v>
      </c>
      <c r="C29">
        <v>2024</v>
      </c>
    </row>
    <row r="30" spans="1:3" x14ac:dyDescent="0.3">
      <c r="B30" t="s">
        <v>44</v>
      </c>
      <c r="C30">
        <v>20</v>
      </c>
    </row>
    <row r="31" spans="1:3" x14ac:dyDescent="0.3">
      <c r="B31" t="s">
        <v>45</v>
      </c>
      <c r="C31" t="s">
        <v>46</v>
      </c>
    </row>
    <row r="33" spans="1:16" x14ac:dyDescent="0.3">
      <c r="A33" t="s">
        <v>47</v>
      </c>
      <c r="J33" s="10"/>
      <c r="K33" s="10"/>
      <c r="L33" s="10"/>
      <c r="M33" s="10"/>
      <c r="N33" s="10"/>
      <c r="O33" s="10"/>
      <c r="P33" s="10"/>
    </row>
    <row r="34" spans="1:16" x14ac:dyDescent="0.3">
      <c r="B34" t="s">
        <v>48</v>
      </c>
      <c r="J34" s="10"/>
      <c r="K34" s="10"/>
      <c r="L34" s="10"/>
      <c r="M34" s="10"/>
      <c r="N34" s="10"/>
      <c r="O34" s="10"/>
      <c r="P34" s="10"/>
    </row>
    <row r="35" spans="1:16" x14ac:dyDescent="0.3">
      <c r="C35" t="s">
        <v>21</v>
      </c>
      <c r="J35" s="10"/>
      <c r="K35" s="10"/>
      <c r="L35" s="10"/>
      <c r="M35" s="10"/>
      <c r="N35" s="10"/>
      <c r="O35" s="10"/>
      <c r="P35" s="10"/>
    </row>
    <row r="36" spans="1:16" x14ac:dyDescent="0.3">
      <c r="C36" t="s">
        <v>22</v>
      </c>
      <c r="J36" s="10"/>
      <c r="K36" s="10"/>
      <c r="L36" s="10"/>
      <c r="M36" s="10"/>
      <c r="N36" s="10"/>
      <c r="O36" s="10"/>
      <c r="P36" s="10"/>
    </row>
    <row r="37" spans="1:16" x14ac:dyDescent="0.3">
      <c r="C37" t="s">
        <v>23</v>
      </c>
      <c r="J37" s="10"/>
      <c r="K37" s="10"/>
      <c r="L37" s="10"/>
      <c r="M37" s="10"/>
      <c r="N37" s="10"/>
      <c r="O37" s="10"/>
      <c r="P37" s="10"/>
    </row>
    <row r="38" spans="1:16" x14ac:dyDescent="0.3">
      <c r="C38" t="s">
        <v>0</v>
      </c>
      <c r="J38" s="10"/>
      <c r="K38" s="10"/>
      <c r="L38" s="10"/>
      <c r="M38" s="10"/>
      <c r="N38" s="10"/>
      <c r="O38" s="10"/>
      <c r="P38" s="10"/>
    </row>
    <row r="39" spans="1:16" x14ac:dyDescent="0.3">
      <c r="C39" t="s">
        <v>24</v>
      </c>
      <c r="J39" s="10"/>
      <c r="K39" s="10"/>
      <c r="L39" s="10"/>
      <c r="M39" s="10"/>
      <c r="N39" s="10"/>
      <c r="O39" s="10"/>
      <c r="P39" s="10"/>
    </row>
    <row r="40" spans="1:16" x14ac:dyDescent="0.3">
      <c r="C40" t="s">
        <v>25</v>
      </c>
      <c r="J40" s="10"/>
      <c r="K40" s="10"/>
      <c r="L40" s="10"/>
      <c r="M40" s="10"/>
      <c r="N40" s="10"/>
      <c r="O40" s="10"/>
      <c r="P40" s="10"/>
    </row>
    <row r="41" spans="1:16" x14ac:dyDescent="0.3">
      <c r="B41" t="s">
        <v>54</v>
      </c>
      <c r="J41" s="10"/>
      <c r="K41" s="10"/>
      <c r="L41" s="10"/>
      <c r="M41" s="10"/>
      <c r="N41" s="10"/>
      <c r="O41" s="10"/>
      <c r="P41" s="10"/>
    </row>
    <row r="42" spans="1:16" x14ac:dyDescent="0.3">
      <c r="C42" s="19" t="s">
        <v>49</v>
      </c>
      <c r="J42" s="10"/>
      <c r="K42" s="10"/>
      <c r="L42" s="10"/>
      <c r="M42" s="10"/>
      <c r="N42" s="10"/>
      <c r="O42" s="10"/>
      <c r="P42" s="10"/>
    </row>
    <row r="43" spans="1:16" x14ac:dyDescent="0.3">
      <c r="C43" s="19" t="s">
        <v>50</v>
      </c>
      <c r="J43" s="10"/>
      <c r="K43" s="10"/>
      <c r="L43" s="10"/>
      <c r="M43" s="10"/>
      <c r="N43" s="10"/>
      <c r="O43" s="10"/>
      <c r="P43" s="10"/>
    </row>
    <row r="44" spans="1:16" x14ac:dyDescent="0.3">
      <c r="C44" s="19" t="s">
        <v>51</v>
      </c>
      <c r="J44" s="10"/>
      <c r="K44" s="10"/>
      <c r="L44" s="10"/>
      <c r="M44" s="10"/>
      <c r="N44" s="10"/>
      <c r="O44" s="10"/>
      <c r="P44" s="10"/>
    </row>
    <row r="45" spans="1:16" x14ac:dyDescent="0.3">
      <c r="C45" s="19" t="s">
        <v>52</v>
      </c>
      <c r="J45" s="10"/>
      <c r="K45" s="10"/>
      <c r="L45" s="10"/>
      <c r="M45" s="10"/>
      <c r="N45" s="10"/>
      <c r="O45" s="10"/>
      <c r="P45" s="10"/>
    </row>
    <row r="46" spans="1:16" x14ac:dyDescent="0.3">
      <c r="C46" s="19" t="s">
        <v>53</v>
      </c>
      <c r="J46" s="10"/>
      <c r="K46" s="10"/>
      <c r="L46" s="10"/>
      <c r="M46" s="10"/>
      <c r="N46" s="10"/>
      <c r="O46" s="10"/>
      <c r="P46" s="10"/>
    </row>
    <row r="47" spans="1:16" x14ac:dyDescent="0.3">
      <c r="C47" s="20"/>
    </row>
    <row r="48" spans="1:16" x14ac:dyDescent="0.3">
      <c r="A48" t="s">
        <v>80</v>
      </c>
      <c r="C48" s="19" t="s">
        <v>117</v>
      </c>
    </row>
    <row r="50" spans="1:3" x14ac:dyDescent="0.3">
      <c r="A50" t="s">
        <v>81</v>
      </c>
    </row>
    <row r="51" spans="1:3" x14ac:dyDescent="0.3">
      <c r="B51" t="s">
        <v>82</v>
      </c>
      <c r="C51" t="s">
        <v>83</v>
      </c>
    </row>
    <row r="52" spans="1:3" x14ac:dyDescent="0.3">
      <c r="B52" t="s">
        <v>75</v>
      </c>
      <c r="C52" t="s">
        <v>84</v>
      </c>
    </row>
    <row r="54" spans="1:3" x14ac:dyDescent="0.3">
      <c r="A54" t="s">
        <v>85</v>
      </c>
    </row>
    <row r="55" spans="1:3" x14ac:dyDescent="0.3">
      <c r="B55" t="s">
        <v>86</v>
      </c>
    </row>
    <row r="56" spans="1:3" x14ac:dyDescent="0.3">
      <c r="B56" t="s">
        <v>87</v>
      </c>
    </row>
    <row r="57" spans="1:3" x14ac:dyDescent="0.3">
      <c r="B57" t="s">
        <v>88</v>
      </c>
      <c r="C57" t="s">
        <v>89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EE27C-98D2-4BC0-8FA7-E48FEA5617D7}">
  <dimension ref="A1:AH52"/>
  <sheetViews>
    <sheetView workbookViewId="0"/>
    <sheetView topLeftCell="A16" workbookViewId="1">
      <selection activeCell="D29" sqref="D29"/>
    </sheetView>
  </sheetViews>
  <sheetFormatPr defaultRowHeight="14.4" x14ac:dyDescent="0.3"/>
  <cols>
    <col min="4" max="4" width="29.33203125" customWidth="1"/>
    <col min="5" max="5" width="9.109375" customWidth="1"/>
    <col min="6" max="6" width="21" customWidth="1"/>
    <col min="7" max="7" width="15.21875" customWidth="1"/>
    <col min="8" max="8" width="14.109375" hidden="1" customWidth="1"/>
    <col min="9" max="33" width="14.109375" customWidth="1"/>
    <col min="34" max="34" width="14.109375" style="30" customWidth="1"/>
  </cols>
  <sheetData>
    <row r="1" spans="1:29" s="30" customFormat="1" x14ac:dyDescent="0.3">
      <c r="A1" s="31" t="s">
        <v>308</v>
      </c>
      <c r="H1" s="30">
        <v>-1</v>
      </c>
      <c r="I1" s="30">
        <v>0</v>
      </c>
      <c r="J1" s="30">
        <f t="shared" ref="J1:AC1" si="0">I1+1</f>
        <v>1</v>
      </c>
      <c r="K1" s="30">
        <f t="shared" si="0"/>
        <v>2</v>
      </c>
      <c r="L1" s="30">
        <f t="shared" si="0"/>
        <v>3</v>
      </c>
      <c r="M1" s="30">
        <f t="shared" si="0"/>
        <v>4</v>
      </c>
      <c r="N1" s="30">
        <f t="shared" si="0"/>
        <v>5</v>
      </c>
      <c r="O1" s="30">
        <f t="shared" si="0"/>
        <v>6</v>
      </c>
      <c r="P1" s="30">
        <f t="shared" si="0"/>
        <v>7</v>
      </c>
      <c r="Q1" s="30">
        <f t="shared" si="0"/>
        <v>8</v>
      </c>
      <c r="R1" s="30">
        <f t="shared" si="0"/>
        <v>9</v>
      </c>
      <c r="S1" s="30">
        <f t="shared" si="0"/>
        <v>10</v>
      </c>
      <c r="T1" s="30">
        <f t="shared" si="0"/>
        <v>11</v>
      </c>
      <c r="U1" s="30">
        <f t="shared" si="0"/>
        <v>12</v>
      </c>
      <c r="V1" s="30">
        <f t="shared" si="0"/>
        <v>13</v>
      </c>
      <c r="W1" s="30">
        <f t="shared" si="0"/>
        <v>14</v>
      </c>
      <c r="X1" s="30">
        <f t="shared" si="0"/>
        <v>15</v>
      </c>
      <c r="Y1" s="30">
        <f t="shared" si="0"/>
        <v>16</v>
      </c>
      <c r="Z1" s="30">
        <f t="shared" si="0"/>
        <v>17</v>
      </c>
      <c r="AA1" s="30">
        <f t="shared" si="0"/>
        <v>18</v>
      </c>
      <c r="AB1" s="30">
        <f t="shared" si="0"/>
        <v>19</v>
      </c>
      <c r="AC1" s="30">
        <f t="shared" si="0"/>
        <v>20</v>
      </c>
    </row>
    <row r="2" spans="1:29" s="31" customFormat="1" x14ac:dyDescent="0.3">
      <c r="E2" s="31" t="s">
        <v>3</v>
      </c>
      <c r="F2" s="31" t="s">
        <v>4</v>
      </c>
      <c r="G2" s="31" t="s">
        <v>9</v>
      </c>
      <c r="H2" s="31">
        <v>2022</v>
      </c>
      <c r="I2" s="31">
        <v>2023</v>
      </c>
      <c r="J2" s="31">
        <f t="shared" ref="J2:AC2" si="1">I2+1</f>
        <v>2024</v>
      </c>
      <c r="K2" s="31">
        <f t="shared" si="1"/>
        <v>2025</v>
      </c>
      <c r="L2" s="31">
        <f t="shared" si="1"/>
        <v>2026</v>
      </c>
      <c r="M2" s="31">
        <f t="shared" si="1"/>
        <v>2027</v>
      </c>
      <c r="N2" s="31">
        <f t="shared" si="1"/>
        <v>2028</v>
      </c>
      <c r="O2" s="31">
        <f t="shared" si="1"/>
        <v>2029</v>
      </c>
      <c r="P2" s="31">
        <f t="shared" si="1"/>
        <v>2030</v>
      </c>
      <c r="Q2" s="31">
        <f t="shared" si="1"/>
        <v>2031</v>
      </c>
      <c r="R2" s="31">
        <f t="shared" si="1"/>
        <v>2032</v>
      </c>
      <c r="S2" s="31">
        <f t="shared" si="1"/>
        <v>2033</v>
      </c>
      <c r="T2" s="31">
        <f t="shared" si="1"/>
        <v>2034</v>
      </c>
      <c r="U2" s="31">
        <f t="shared" si="1"/>
        <v>2035</v>
      </c>
      <c r="V2" s="31">
        <f t="shared" si="1"/>
        <v>2036</v>
      </c>
      <c r="W2" s="31">
        <f t="shared" si="1"/>
        <v>2037</v>
      </c>
      <c r="X2" s="31">
        <f t="shared" si="1"/>
        <v>2038</v>
      </c>
      <c r="Y2" s="31">
        <f t="shared" si="1"/>
        <v>2039</v>
      </c>
      <c r="Z2" s="31">
        <f t="shared" si="1"/>
        <v>2040</v>
      </c>
      <c r="AA2" s="31">
        <f t="shared" si="1"/>
        <v>2041</v>
      </c>
      <c r="AB2" s="31">
        <f t="shared" si="1"/>
        <v>2042</v>
      </c>
      <c r="AC2" s="31">
        <f t="shared" si="1"/>
        <v>2043</v>
      </c>
    </row>
    <row r="3" spans="1:29" s="31" customFormat="1" x14ac:dyDescent="0.3">
      <c r="A3" s="31" t="s">
        <v>110</v>
      </c>
    </row>
    <row r="4" spans="1:29" s="15" customFormat="1" x14ac:dyDescent="0.3">
      <c r="D4" s="12" t="s">
        <v>307</v>
      </c>
      <c r="G4" s="71">
        <f t="shared" ref="G4:G10" si="2">SUM(I4:AC4)</f>
        <v>19658953.603427157</v>
      </c>
      <c r="I4" s="71">
        <f>'2_MODEL_Costs'!I41</f>
        <v>0</v>
      </c>
      <c r="J4" s="71">
        <f>'2_MODEL_Costs'!J41</f>
        <v>0</v>
      </c>
      <c r="K4" s="71">
        <f>'2_MODEL_Costs'!K41</f>
        <v>0</v>
      </c>
      <c r="L4" s="71">
        <f>'2_MODEL_Costs'!L41</f>
        <v>2474894.3506472833</v>
      </c>
      <c r="M4" s="71">
        <f>'2_MODEL_Costs'!M41</f>
        <v>2509045.7820359096</v>
      </c>
      <c r="N4" s="71">
        <f>'2_MODEL_Costs'!N41</f>
        <v>2344902.6000335603</v>
      </c>
      <c r="O4" s="71">
        <f>'2_MODEL_Costs'!O41</f>
        <v>2191497.7570407107</v>
      </c>
      <c r="P4" s="71">
        <f>'2_MODEL_Costs'!P41</f>
        <v>3206144.3449270953</v>
      </c>
      <c r="Q4" s="71">
        <f>'2_MODEL_Costs'!Q41</f>
        <v>1914139.0139232341</v>
      </c>
      <c r="R4" s="71">
        <f>'2_MODEL_Costs'!R41</f>
        <v>1649126.6053212343</v>
      </c>
      <c r="S4" s="71">
        <f>'2_MODEL_Costs'!S41</f>
        <v>1541239.8180572283</v>
      </c>
      <c r="T4" s="71">
        <f>'2_MODEL_Costs'!T41</f>
        <v>944889.25828104455</v>
      </c>
      <c r="U4" s="71">
        <f>'2_MODEL_Costs'!U41</f>
        <v>883074.07315985486</v>
      </c>
      <c r="V4" s="71">
        <f>'2_MODEL_Costs'!V41</f>
        <v>0</v>
      </c>
      <c r="W4" s="71">
        <f>'2_MODEL_Costs'!W41</f>
        <v>0</v>
      </c>
      <c r="X4" s="71">
        <f>'2_MODEL_Costs'!X41</f>
        <v>0</v>
      </c>
      <c r="Y4" s="71">
        <f>'2_MODEL_Costs'!Y41</f>
        <v>0</v>
      </c>
      <c r="Z4" s="71">
        <f>'2_MODEL_Costs'!Z41</f>
        <v>0</v>
      </c>
      <c r="AA4" s="71">
        <f>'2_MODEL_Costs'!AA41</f>
        <v>0</v>
      </c>
      <c r="AB4" s="71">
        <f>'2_MODEL_Costs'!AB41</f>
        <v>0</v>
      </c>
      <c r="AC4" s="71">
        <f>'2_MODEL_Costs'!AC41</f>
        <v>0</v>
      </c>
    </row>
    <row r="5" spans="1:29" s="15" customFormat="1" x14ac:dyDescent="0.3">
      <c r="D5" s="71" t="s">
        <v>309</v>
      </c>
      <c r="G5" s="71">
        <f t="shared" si="2"/>
        <v>280324855.19953054</v>
      </c>
      <c r="I5" s="71">
        <f>'2_MODEL_Costs'!I50</f>
        <v>21507328.0266</v>
      </c>
      <c r="J5" s="71">
        <f>'2_MODEL_Costs'!J50</f>
        <v>20886980.463809486</v>
      </c>
      <c r="K5" s="71">
        <f>'2_MODEL_Costs'!K50</f>
        <v>20255751.738974851</v>
      </c>
      <c r="L5" s="71">
        <f>'2_MODEL_Costs'!L50</f>
        <v>19617720.549914133</v>
      </c>
      <c r="M5" s="71">
        <f>'2_MODEL_Costs'!M50</f>
        <v>18334318.270947788</v>
      </c>
      <c r="N5" s="71">
        <f>'2_MODEL_Costs'!N50</f>
        <v>17134876.888736248</v>
      </c>
      <c r="O5" s="71">
        <f>'2_MODEL_Costs'!O50</f>
        <v>16013903.634332944</v>
      </c>
      <c r="P5" s="71">
        <f>'2_MODEL_Costs'!P50</f>
        <v>15663544.155370001</v>
      </c>
      <c r="Q5" s="71">
        <f>'2_MODEL_Costs'!Q50</f>
        <v>14638826.313429909</v>
      </c>
      <c r="R5" s="71">
        <f>'2_MODEL_Costs'!R50</f>
        <v>13681146.08731767</v>
      </c>
      <c r="S5" s="71">
        <f>'2_MODEL_Costs'!S50</f>
        <v>12786117.838614646</v>
      </c>
      <c r="T5" s="71">
        <f>'2_MODEL_Costs'!T50</f>
        <v>11949642.83982677</v>
      </c>
      <c r="U5" s="71">
        <f>'2_MODEL_Costs'!U50</f>
        <v>11167890.504511002</v>
      </c>
      <c r="V5" s="71">
        <f>'2_MODEL_Costs'!V50</f>
        <v>10437280.845337383</v>
      </c>
      <c r="W5" s="71">
        <f>'2_MODEL_Costs'!W50</f>
        <v>9754468.0797545649</v>
      </c>
      <c r="X5" s="71">
        <f>'2_MODEL_Costs'!X50</f>
        <v>9116325.3081818353</v>
      </c>
      <c r="Y5" s="71">
        <f>'2_MODEL_Costs'!Y50</f>
        <v>8519930.194562465</v>
      </c>
      <c r="Z5" s="71">
        <f>'2_MODEL_Costs'!Z50</f>
        <v>7962551.5837032376</v>
      </c>
      <c r="AA5" s="71">
        <f>'2_MODEL_Costs'!AA50</f>
        <v>7441636.9941151747</v>
      </c>
      <c r="AB5" s="71">
        <f>'2_MODEL_Costs'!AB50</f>
        <v>6954800.9290796025</v>
      </c>
      <c r="AC5" s="71">
        <f>'2_MODEL_Costs'!AC50</f>
        <v>6499813.9524108442</v>
      </c>
    </row>
    <row r="6" spans="1:29" s="15" customFormat="1" x14ac:dyDescent="0.3">
      <c r="D6" s="71" t="s">
        <v>372</v>
      </c>
      <c r="F6" s="71" t="s">
        <v>396</v>
      </c>
      <c r="G6" s="71">
        <f t="shared" si="2"/>
        <v>14418744.34681681</v>
      </c>
      <c r="I6" s="71">
        <f>'3_MODEL_main'!I28</f>
        <v>1512664.8593243524</v>
      </c>
      <c r="J6" s="71">
        <f>'3_MODEL_main'!J28</f>
        <v>1431376.7944541185</v>
      </c>
      <c r="K6" s="71">
        <f>'3_MODEL_main'!K28</f>
        <v>1362508.1982515838</v>
      </c>
      <c r="L6" s="71">
        <f>'3_MODEL_main'!L28</f>
        <v>1231871.1966763551</v>
      </c>
      <c r="M6" s="71">
        <f>'3_MODEL_main'!M28</f>
        <v>1110337.4780590127</v>
      </c>
      <c r="N6" s="71">
        <f>'3_MODEL_main'!N28</f>
        <v>997556.15190447785</v>
      </c>
      <c r="O6" s="71">
        <f>'3_MODEL_main'!O28</f>
        <v>894383.77524204308</v>
      </c>
      <c r="P6" s="71">
        <f>'3_MODEL_main'!P28</f>
        <v>800617.30023505818</v>
      </c>
      <c r="Q6" s="71">
        <f>'3_MODEL_main'!Q28</f>
        <v>699104.94058178901</v>
      </c>
      <c r="R6" s="71">
        <f>'3_MODEL_main'!R28</f>
        <v>607448.05014409148</v>
      </c>
      <c r="S6" s="71">
        <f>'3_MODEL_main'!S28</f>
        <v>524791.58592590329</v>
      </c>
      <c r="T6" s="71">
        <f>'3_MODEL_main'!T28</f>
        <v>455317.47415868624</v>
      </c>
      <c r="U6" s="71">
        <f>'3_MODEL_main'!U28</f>
        <v>400322.34157981345</v>
      </c>
      <c r="V6" s="71">
        <f>'3_MODEL_main'!V28</f>
        <v>374133.02951384429</v>
      </c>
      <c r="W6" s="71">
        <f>'3_MODEL_main'!W28</f>
        <v>349657.03692882648</v>
      </c>
      <c r="X6" s="71">
        <f>'3_MODEL_main'!X28</f>
        <v>326782.27750357613</v>
      </c>
      <c r="Y6" s="71">
        <f>'3_MODEL_main'!Y28</f>
        <v>305403.99766689359</v>
      </c>
      <c r="Z6" s="71">
        <f>'3_MODEL_main'!Z28</f>
        <v>285424.29688494728</v>
      </c>
      <c r="AA6" s="71">
        <f>'3_MODEL_main'!AA28</f>
        <v>266751.67933172645</v>
      </c>
      <c r="AB6" s="71">
        <f>'3_MODEL_main'!AB28</f>
        <v>249300.63488946395</v>
      </c>
      <c r="AC6" s="71">
        <f>'3_MODEL_main'!AC28</f>
        <v>232991.2475602467</v>
      </c>
    </row>
    <row r="7" spans="1:29" s="15" customFormat="1" x14ac:dyDescent="0.3">
      <c r="D7" s="71" t="s">
        <v>373</v>
      </c>
      <c r="F7" s="71" t="s">
        <v>396</v>
      </c>
      <c r="G7" s="71">
        <f t="shared" si="2"/>
        <v>6735846.9634316694</v>
      </c>
      <c r="I7" s="71">
        <f>'3_MODEL_main'!I30</f>
        <v>841782.62524807721</v>
      </c>
      <c r="J7" s="71">
        <f>'3_MODEL_main'!J30</f>
        <v>800320.51835321193</v>
      </c>
      <c r="K7" s="71">
        <f>'3_MODEL_main'!K30</f>
        <v>760870.47111267247</v>
      </c>
      <c r="L7" s="71">
        <f>'3_MODEL_main'!L30</f>
        <v>669075.49644974282</v>
      </c>
      <c r="M7" s="71">
        <f>'3_MODEL_main'!M30</f>
        <v>584530.34607354051</v>
      </c>
      <c r="N7" s="71">
        <f>'3_MODEL_main'!N30</f>
        <v>508163.36737828684</v>
      </c>
      <c r="O7" s="71">
        <f>'3_MODEL_main'!O30</f>
        <v>439235.49146981828</v>
      </c>
      <c r="P7" s="71">
        <f>'3_MODEL_main'!P30</f>
        <v>374539.03931591316</v>
      </c>
      <c r="Q7" s="71">
        <f>'3_MODEL_main'!Q30</f>
        <v>309015.27623832814</v>
      </c>
      <c r="R7" s="71">
        <f>'3_MODEL_main'!R30</f>
        <v>250461.74498568353</v>
      </c>
      <c r="S7" s="71">
        <f>'3_MODEL_main'!S30</f>
        <v>197502.41082338928</v>
      </c>
      <c r="T7" s="71">
        <f>'3_MODEL_main'!T30</f>
        <v>155302.00288974468</v>
      </c>
      <c r="U7" s="71">
        <f>'3_MODEL_main'!U30</f>
        <v>121218.18802337088</v>
      </c>
      <c r="V7" s="71">
        <f>'3_MODEL_main'!V30</f>
        <v>113288.02619006624</v>
      </c>
      <c r="W7" s="71">
        <f>'3_MODEL_main'!W30</f>
        <v>105876.65999071611</v>
      </c>
      <c r="X7" s="71">
        <f>'3_MODEL_main'!X30</f>
        <v>98950.149524033739</v>
      </c>
      <c r="Y7" s="71">
        <f>'3_MODEL_main'!Y30</f>
        <v>92476.77525610631</v>
      </c>
      <c r="Z7" s="71">
        <f>'3_MODEL_main'!Z30</f>
        <v>86426.892762716176</v>
      </c>
      <c r="AA7" s="71">
        <f>'3_MODEL_main'!AA30</f>
        <v>80772.796974501107</v>
      </c>
      <c r="AB7" s="71">
        <f>'3_MODEL_main'!AB30</f>
        <v>75488.595303272057</v>
      </c>
      <c r="AC7" s="71">
        <f>'3_MODEL_main'!AC30</f>
        <v>70550.089068478555</v>
      </c>
    </row>
    <row r="8" spans="1:29" s="15" customFormat="1" x14ac:dyDescent="0.3">
      <c r="D8" s="71" t="s">
        <v>374</v>
      </c>
      <c r="F8" s="71" t="s">
        <v>396</v>
      </c>
      <c r="G8" s="71">
        <f t="shared" si="2"/>
        <v>43381.989856070046</v>
      </c>
      <c r="I8" s="71">
        <f>'3_MODEL_main'!I32</f>
        <v>6084.7248785875927</v>
      </c>
      <c r="J8" s="71">
        <f>'3_MODEL_main'!J32</f>
        <v>5805.4056998038477</v>
      </c>
      <c r="K8" s="71">
        <f>'3_MODEL_main'!K32</f>
        <v>5536.5912472640775</v>
      </c>
      <c r="L8" s="71">
        <f>'3_MODEL_main'!L32</f>
        <v>4387.7510130732644</v>
      </c>
      <c r="M8" s="71">
        <f>'3_MODEL_main'!M32</f>
        <v>3336.7754620371002</v>
      </c>
      <c r="N8" s="71">
        <f>'3_MODEL_main'!N32</f>
        <v>2377.6368869616822</v>
      </c>
      <c r="O8" s="71">
        <f>'3_MODEL_main'!O32</f>
        <v>1507.6708116607294</v>
      </c>
      <c r="P8" s="71">
        <f>'3_MODEL_main'!P32</f>
        <v>1525.2965951306451</v>
      </c>
      <c r="Q8" s="71">
        <f>'3_MODEL_main'!Q32</f>
        <v>1427.5536947209978</v>
      </c>
      <c r="R8" s="71">
        <f>'3_MODEL_main'!R32</f>
        <v>1336.0715447395314</v>
      </c>
      <c r="S8" s="71">
        <f>'3_MODEL_main'!S32</f>
        <v>1250.4551705177946</v>
      </c>
      <c r="T8" s="71">
        <f>'3_MODEL_main'!T32</f>
        <v>1170.3115585599944</v>
      </c>
      <c r="U8" s="71">
        <f>'3_MODEL_main'!U32</f>
        <v>1095.3117681314043</v>
      </c>
      <c r="V8" s="71">
        <f>'3_MODEL_main'!V32</f>
        <v>1023.6558580667329</v>
      </c>
      <c r="W8" s="71">
        <f>'3_MODEL_main'!W32</f>
        <v>956.68771781937664</v>
      </c>
      <c r="X8" s="71">
        <f>'3_MODEL_main'!X32</f>
        <v>894.10067085923038</v>
      </c>
      <c r="Y8" s="71">
        <f>'3_MODEL_main'!Y32</f>
        <v>835.60810360675748</v>
      </c>
      <c r="Z8" s="71">
        <f>'3_MODEL_main'!Z32</f>
        <v>780.94215290351167</v>
      </c>
      <c r="AA8" s="71">
        <f>'3_MODEL_main'!AA32</f>
        <v>729.85247934907625</v>
      </c>
      <c r="AB8" s="71">
        <f>'3_MODEL_main'!AB32</f>
        <v>682.10512088698715</v>
      </c>
      <c r="AC8" s="71">
        <f>'3_MODEL_main'!AC32</f>
        <v>637.48142138970763</v>
      </c>
    </row>
    <row r="9" spans="1:29" s="15" customFormat="1" x14ac:dyDescent="0.3">
      <c r="D9" s="71" t="s">
        <v>375</v>
      </c>
      <c r="F9" s="71" t="s">
        <v>397</v>
      </c>
      <c r="G9" s="71">
        <f t="shared" si="2"/>
        <v>16025759.420606537</v>
      </c>
      <c r="I9" s="71">
        <f>'3_MODEL_main'!I35</f>
        <v>436010.53779028595</v>
      </c>
      <c r="J9" s="71">
        <f>'3_MODEL_main'!J35</f>
        <v>581139.94149196381</v>
      </c>
      <c r="K9" s="71">
        <f>'3_MODEL_main'!K35</f>
        <v>722740.63116273424</v>
      </c>
      <c r="L9" s="71">
        <f>'3_MODEL_main'!L35</f>
        <v>860740.81209831208</v>
      </c>
      <c r="M9" s="71">
        <f>'3_MODEL_main'!M35</f>
        <v>850331.58067964739</v>
      </c>
      <c r="N9" s="71">
        <f>'3_MODEL_main'!N35</f>
        <v>854032.38769298373</v>
      </c>
      <c r="O9" s="71">
        <f>'3_MODEL_main'!O35</f>
        <v>842976.95225359232</v>
      </c>
      <c r="P9" s="71">
        <f>'3_MODEL_main'!P35</f>
        <v>845693.01156092924</v>
      </c>
      <c r="Q9" s="71">
        <f>'3_MODEL_main'!Q35</f>
        <v>834304.09847069439</v>
      </c>
      <c r="R9" s="71">
        <f>'3_MODEL_main'!R35</f>
        <v>822861.18511518615</v>
      </c>
      <c r="S9" s="71">
        <f>'3_MODEL_main'!S35</f>
        <v>811377.07876952528</v>
      </c>
      <c r="T9" s="71">
        <f>'3_MODEL_main'!T35</f>
        <v>799863.88646435656</v>
      </c>
      <c r="U9" s="71">
        <f>'3_MODEL_main'!U35</f>
        <v>788333.04491191381</v>
      </c>
      <c r="V9" s="71">
        <f>'3_MODEL_main'!V35</f>
        <v>788218.81030172505</v>
      </c>
      <c r="W9" s="71">
        <f>'3_MODEL_main'!W35</f>
        <v>776351.71972872876</v>
      </c>
      <c r="X9" s="71">
        <f>'3_MODEL_main'!X35</f>
        <v>764507.24134174385</v>
      </c>
      <c r="Y9" s="71">
        <f>'3_MODEL_main'!Y35</f>
        <v>752694.12520997645</v>
      </c>
      <c r="Z9" s="71">
        <f>'3_MODEL_main'!Z35</f>
        <v>740920.59250712348</v>
      </c>
      <c r="AA9" s="71">
        <f>'3_MODEL_main'!AA35</f>
        <v>729194.3588978207</v>
      </c>
      <c r="AB9" s="71">
        <f>'3_MODEL_main'!AB35</f>
        <v>717522.65701045061</v>
      </c>
      <c r="AC9" s="71">
        <f>'3_MODEL_main'!AC35</f>
        <v>705944.76714684512</v>
      </c>
    </row>
    <row r="10" spans="1:29" s="15" customFormat="1" x14ac:dyDescent="0.3">
      <c r="D10" s="71" t="s">
        <v>319</v>
      </c>
      <c r="F10" s="71" t="s">
        <v>396</v>
      </c>
      <c r="G10" s="71">
        <f t="shared" si="2"/>
        <v>168287477.76792279</v>
      </c>
      <c r="I10" s="71">
        <f>'5_Safety'!I30</f>
        <v>7733501.0336605553</v>
      </c>
      <c r="J10" s="71">
        <f>'5_Safety'!J30</f>
        <v>7733501.0336605553</v>
      </c>
      <c r="K10" s="71">
        <f>'5_Safety'!K30</f>
        <v>7733501.0336605553</v>
      </c>
      <c r="L10" s="71">
        <f>'5_Safety'!L30</f>
        <v>7733501.0336605553</v>
      </c>
      <c r="M10" s="71">
        <f>'5_Safety'!M30</f>
        <v>7733501.0336605553</v>
      </c>
      <c r="N10" s="71">
        <f>'5_Safety'!N30</f>
        <v>7733501.0336605553</v>
      </c>
      <c r="O10" s="71">
        <f>'5_Safety'!O30</f>
        <v>7733501.0336605553</v>
      </c>
      <c r="P10" s="71">
        <f>'5_Safety'!P30</f>
        <v>8153783.6094499156</v>
      </c>
      <c r="Q10" s="71">
        <f>'5_Safety'!Q30</f>
        <v>8153783.6094499156</v>
      </c>
      <c r="R10" s="71">
        <f>'5_Safety'!R30</f>
        <v>8153783.6094499156</v>
      </c>
      <c r="S10" s="71">
        <f>'5_Safety'!S30</f>
        <v>8153783.6094499156</v>
      </c>
      <c r="T10" s="71">
        <f>'5_Safety'!T30</f>
        <v>8153783.6094499156</v>
      </c>
      <c r="U10" s="71">
        <f>'5_Safety'!U30</f>
        <v>8153783.6094499156</v>
      </c>
      <c r="V10" s="71">
        <f>'5_Safety'!V30</f>
        <v>8153783.6094499156</v>
      </c>
      <c r="W10" s="71">
        <f>'5_Safety'!W30</f>
        <v>8153783.6094499156</v>
      </c>
      <c r="X10" s="71">
        <f>'5_Safety'!X30</f>
        <v>8153783.6094499156</v>
      </c>
      <c r="Y10" s="71">
        <f>'5_Safety'!Y30</f>
        <v>8153783.6094499156</v>
      </c>
      <c r="Z10" s="71">
        <f>'5_Safety'!Z30</f>
        <v>8153783.6094499156</v>
      </c>
      <c r="AA10" s="71">
        <f>'5_Safety'!AA30</f>
        <v>8153783.6094499156</v>
      </c>
      <c r="AB10" s="71">
        <f>'5_Safety'!AB30</f>
        <v>8153783.6094499156</v>
      </c>
      <c r="AC10" s="71">
        <f>'5_Safety'!AC30</f>
        <v>8153783.6094499156</v>
      </c>
    </row>
    <row r="11" spans="1:29" s="15" customFormat="1" x14ac:dyDescent="0.3">
      <c r="J11" s="71"/>
      <c r="K11" s="71"/>
      <c r="L11" s="71"/>
      <c r="M11" s="71"/>
      <c r="N11" s="71"/>
      <c r="O11" s="71"/>
      <c r="P11" s="71"/>
      <c r="Q11" s="71"/>
      <c r="R11" s="71"/>
      <c r="S11" s="71"/>
      <c r="T11" s="71"/>
      <c r="U11" s="71"/>
      <c r="V11" s="71"/>
      <c r="W11" s="71"/>
      <c r="X11" s="71"/>
      <c r="Y11" s="71"/>
      <c r="Z11" s="71"/>
      <c r="AA11" s="71"/>
      <c r="AB11" s="71"/>
      <c r="AC11" s="71"/>
    </row>
    <row r="12" spans="1:29" s="15" customFormat="1" x14ac:dyDescent="0.3">
      <c r="A12" s="15" t="s">
        <v>8</v>
      </c>
      <c r="I12" s="71"/>
      <c r="J12" s="71"/>
      <c r="K12" s="71"/>
      <c r="L12" s="71"/>
      <c r="M12" s="71"/>
      <c r="N12" s="71"/>
      <c r="O12" s="71"/>
      <c r="P12" s="71"/>
      <c r="Q12" s="71"/>
      <c r="R12" s="71"/>
      <c r="S12" s="71"/>
      <c r="T12" s="71"/>
      <c r="U12" s="71"/>
      <c r="V12" s="71"/>
      <c r="W12" s="71"/>
      <c r="X12" s="71"/>
      <c r="Y12" s="71"/>
      <c r="Z12" s="71"/>
      <c r="AA12" s="71"/>
      <c r="AB12" s="71"/>
      <c r="AC12" s="71"/>
    </row>
    <row r="13" spans="1:29" s="15" customFormat="1" x14ac:dyDescent="0.3">
      <c r="D13" s="12" t="s">
        <v>307</v>
      </c>
      <c r="G13" s="71">
        <f>SUM(I13:AC13)</f>
        <v>43110078.048260488</v>
      </c>
      <c r="I13" s="71">
        <f>'2_MODEL_Costs'!I17</f>
        <v>9802505.561944589</v>
      </c>
      <c r="J13" s="71">
        <f>'2_MODEL_Costs'!J17</f>
        <v>16911888.40740433</v>
      </c>
      <c r="K13" s="71">
        <f>'2_MODEL_Costs'!K17</f>
        <v>16191609.609688861</v>
      </c>
      <c r="L13" s="71">
        <f>'2_MODEL_Costs'!L17</f>
        <v>204074.46922271297</v>
      </c>
      <c r="M13" s="71">
        <f>'2_MODEL_Costs'!M17</f>
        <v>0</v>
      </c>
      <c r="N13" s="71">
        <f>'2_MODEL_Costs'!N17</f>
        <v>0</v>
      </c>
      <c r="O13" s="71">
        <f>'2_MODEL_Costs'!O17</f>
        <v>0</v>
      </c>
      <c r="P13" s="71">
        <f>'2_MODEL_Costs'!P17</f>
        <v>0</v>
      </c>
      <c r="Q13" s="71">
        <f>'2_MODEL_Costs'!Q17</f>
        <v>0</v>
      </c>
      <c r="R13" s="71">
        <f>'2_MODEL_Costs'!R17</f>
        <v>0</v>
      </c>
      <c r="S13" s="71">
        <f>'2_MODEL_Costs'!S17</f>
        <v>0</v>
      </c>
      <c r="T13" s="71">
        <f>'2_MODEL_Costs'!T17</f>
        <v>0</v>
      </c>
      <c r="U13" s="71">
        <f>'2_MODEL_Costs'!U17</f>
        <v>0</v>
      </c>
      <c r="V13" s="71">
        <f>'2_MODEL_Costs'!V17</f>
        <v>0</v>
      </c>
      <c r="W13" s="71">
        <f>'2_MODEL_Costs'!W17</f>
        <v>0</v>
      </c>
      <c r="X13" s="71">
        <f>'2_MODEL_Costs'!X17</f>
        <v>0</v>
      </c>
      <c r="Y13" s="71">
        <f>'2_MODEL_Costs'!Y17</f>
        <v>0</v>
      </c>
      <c r="Z13" s="71">
        <f>'2_MODEL_Costs'!Z17</f>
        <v>0</v>
      </c>
      <c r="AA13" s="71">
        <f>'2_MODEL_Costs'!AA17</f>
        <v>0</v>
      </c>
      <c r="AB13" s="71">
        <f>'2_MODEL_Costs'!AB17</f>
        <v>0</v>
      </c>
      <c r="AC13" s="71">
        <f>'2_MODEL_Costs'!AC17</f>
        <v>0</v>
      </c>
    </row>
    <row r="14" spans="1:29" s="31" customFormat="1" x14ac:dyDescent="0.3">
      <c r="D14" s="71" t="s">
        <v>309</v>
      </c>
      <c r="G14" s="71">
        <f>SUM(I14:AC14)</f>
        <v>191073990.28209773</v>
      </c>
      <c r="I14" s="71">
        <f>'2_MODEL_Costs'!I29</f>
        <v>20682076.847168457</v>
      </c>
      <c r="J14" s="71">
        <f>'2_MODEL_Costs'!J29</f>
        <v>17495755.068352025</v>
      </c>
      <c r="K14" s="71">
        <f>'2_MODEL_Costs'!K29</f>
        <v>13899030.103325145</v>
      </c>
      <c r="L14" s="71">
        <f>'2_MODEL_Costs'!L29</f>
        <v>12964630.902366469</v>
      </c>
      <c r="M14" s="71">
        <f>'2_MODEL_Costs'!M29</f>
        <v>12064395.209563155</v>
      </c>
      <c r="N14" s="71">
        <f>'2_MODEL_Costs'!N29</f>
        <v>11275135.709872106</v>
      </c>
      <c r="O14" s="71">
        <f>'2_MODEL_Costs'!O29</f>
        <v>10537510.009226268</v>
      </c>
      <c r="P14" s="71">
        <f>'2_MODEL_Costs'!P29</f>
        <v>9848140.1955385674</v>
      </c>
      <c r="Q14" s="71">
        <f>'2_MODEL_Costs'!Q29</f>
        <v>9203869.3416248299</v>
      </c>
      <c r="R14" s="71">
        <f>'2_MODEL_Costs'!R29</f>
        <v>8601747.0482475031</v>
      </c>
      <c r="S14" s="71">
        <f>'2_MODEL_Costs'!S29</f>
        <v>8039015.9329415923</v>
      </c>
      <c r="T14" s="71">
        <f>'2_MODEL_Costs'!T29</f>
        <v>7513099.0027491506</v>
      </c>
      <c r="U14" s="71">
        <f>'2_MODEL_Costs'!U29</f>
        <v>7021587.8530365909</v>
      </c>
      <c r="V14" s="71">
        <f>'2_MODEL_Costs'!V29</f>
        <v>6562231.6383519536</v>
      </c>
      <c r="W14" s="71">
        <f>'2_MODEL_Costs'!W29</f>
        <v>6132926.7648149105</v>
      </c>
      <c r="X14" s="71">
        <f>'2_MODEL_Costs'!X29</f>
        <v>5731707.256836364</v>
      </c>
      <c r="Y14" s="71">
        <f>'2_MODEL_Costs'!Y29</f>
        <v>5356735.7540526772</v>
      </c>
      <c r="Z14" s="71">
        <f>'2_MODEL_Costs'!Z29</f>
        <v>5006295.097245493</v>
      </c>
      <c r="AA14" s="71">
        <f>'2_MODEL_Costs'!AA29</f>
        <v>4678780.4647154137</v>
      </c>
      <c r="AB14" s="71">
        <f>'2_MODEL_Costs'!AB29</f>
        <v>4372692.0230985172</v>
      </c>
      <c r="AC14" s="71">
        <f>'2_MODEL_Costs'!AC29</f>
        <v>4086628.0589705771</v>
      </c>
    </row>
    <row r="15" spans="1:29" s="31" customFormat="1" x14ac:dyDescent="0.3">
      <c r="D15" s="71" t="s">
        <v>372</v>
      </c>
      <c r="F15" s="71" t="s">
        <v>396</v>
      </c>
      <c r="G15" s="71">
        <f t="shared" ref="G15" si="3">SUM(I15:AC15)</f>
        <v>2256069.6425283067</v>
      </c>
      <c r="I15" s="71">
        <f>'3_MODEL_main'!I11</f>
        <v>1111252.6307716139</v>
      </c>
      <c r="J15" s="71">
        <f>'3_MODEL_main'!J11</f>
        <v>554930.23887484684</v>
      </c>
      <c r="K15" s="71">
        <f>'3_MODEL_main'!K11</f>
        <v>205404.29188063528</v>
      </c>
      <c r="L15" s="71">
        <f>'3_MODEL_main'!L11</f>
        <v>136681.31925792829</v>
      </c>
      <c r="M15" s="71">
        <f>'3_MODEL_main'!M11</f>
        <v>74109.148443620492</v>
      </c>
      <c r="N15" s="71">
        <f>'3_MODEL_main'!N11</f>
        <v>32688.111085076904</v>
      </c>
      <c r="O15" s="71">
        <f>'3_MODEL_main'!O11</f>
        <v>14181.072468881244</v>
      </c>
      <c r="P15" s="71">
        <f>'3_MODEL_main'!P11</f>
        <v>13552.849236324542</v>
      </c>
      <c r="Q15" s="71">
        <f>'3_MODEL_main'!Q11</f>
        <v>12666.214239555648</v>
      </c>
      <c r="R15" s="71">
        <f>'3_MODEL_main'!R11</f>
        <v>11837.583401453874</v>
      </c>
      <c r="S15" s="71">
        <f>'3_MODEL_main'!S11</f>
        <v>11063.162057433528</v>
      </c>
      <c r="T15" s="71">
        <f>'3_MODEL_main'!T11</f>
        <v>10339.403791993951</v>
      </c>
      <c r="U15" s="71">
        <f>'3_MODEL_main'!U11</f>
        <v>9662.9941981251886</v>
      </c>
      <c r="V15" s="71">
        <f>'3_MODEL_main'!V11</f>
        <v>9030.8356991824185</v>
      </c>
      <c r="W15" s="71">
        <f>'3_MODEL_main'!W11</f>
        <v>8440.0333637218882</v>
      </c>
      <c r="X15" s="71">
        <f>'3_MODEL_main'!X11</f>
        <v>7887.8816483382116</v>
      </c>
      <c r="Y15" s="71">
        <f>'3_MODEL_main'!Y11</f>
        <v>7371.8520077927224</v>
      </c>
      <c r="Z15" s="71">
        <f>'3_MODEL_main'!Z11</f>
        <v>6889.5813156941331</v>
      </c>
      <c r="AA15" s="71">
        <f>'3_MODEL_main'!AA11</f>
        <v>6438.861042704797</v>
      </c>
      <c r="AB15" s="71">
        <f>'3_MODEL_main'!AB11</f>
        <v>6017.6271427147631</v>
      </c>
      <c r="AC15" s="71">
        <f>'3_MODEL_main'!AC11</f>
        <v>5623.9506006680031</v>
      </c>
    </row>
    <row r="16" spans="1:29" s="31" customFormat="1" x14ac:dyDescent="0.3">
      <c r="D16" s="71" t="s">
        <v>373</v>
      </c>
      <c r="F16" s="71" t="s">
        <v>396</v>
      </c>
      <c r="G16" s="71">
        <f>SUM(I16:AC16)</f>
        <v>3510364.0971626882</v>
      </c>
      <c r="I16" s="71">
        <f>'3_MODEL_main'!I13</f>
        <v>805076.00930054032</v>
      </c>
      <c r="J16" s="71">
        <f>'3_MODEL_main'!J13</f>
        <v>598779.8238421072</v>
      </c>
      <c r="K16" s="71">
        <f>'3_MODEL_main'!K13</f>
        <v>317029.86279549112</v>
      </c>
      <c r="L16" s="71">
        <f>'3_MODEL_main'!L13</f>
        <v>250225.3802711941</v>
      </c>
      <c r="M16" s="71">
        <f>'3_MODEL_main'!M13</f>
        <v>187375.7058925672</v>
      </c>
      <c r="N16" s="71">
        <f>'3_MODEL_main'!N13</f>
        <v>145066.15219206284</v>
      </c>
      <c r="O16" s="71">
        <f>'3_MODEL_main'!O13</f>
        <v>122088.30517463761</v>
      </c>
      <c r="P16" s="71">
        <f>'3_MODEL_main'!P13</f>
        <v>115918.2883949261</v>
      </c>
      <c r="Q16" s="71">
        <f>'3_MODEL_main'!Q13</f>
        <v>108334.84896722066</v>
      </c>
      <c r="R16" s="71">
        <f>'3_MODEL_main'!R13</f>
        <v>101247.52239927163</v>
      </c>
      <c r="S16" s="71">
        <f>'3_MODEL_main'!S13</f>
        <v>94623.852709599669</v>
      </c>
      <c r="T16" s="71">
        <f>'3_MODEL_main'!T13</f>
        <v>88433.507205233327</v>
      </c>
      <c r="U16" s="71">
        <f>'3_MODEL_main'!U13</f>
        <v>82648.13757498443</v>
      </c>
      <c r="V16" s="71">
        <f>'3_MODEL_main'!V13</f>
        <v>77241.250070078895</v>
      </c>
      <c r="W16" s="71">
        <f>'3_MODEL_main'!W13</f>
        <v>72188.084177643832</v>
      </c>
      <c r="X16" s="71">
        <f>'3_MODEL_main'!X13</f>
        <v>67465.499231442824</v>
      </c>
      <c r="Y16" s="71">
        <f>'3_MODEL_main'!Y13</f>
        <v>63051.868440600781</v>
      </c>
      <c r="Z16" s="71">
        <f>'3_MODEL_main'!Z13</f>
        <v>58926.979851028766</v>
      </c>
      <c r="AA16" s="71">
        <f>'3_MODEL_main'!AA13</f>
        <v>55071.943786008196</v>
      </c>
      <c r="AB16" s="71">
        <f>'3_MODEL_main'!AB13</f>
        <v>51469.106342063729</v>
      </c>
      <c r="AC16" s="71">
        <f>'3_MODEL_main'!AC13</f>
        <v>48101.968543984796</v>
      </c>
    </row>
    <row r="17" spans="1:29" s="31" customFormat="1" x14ac:dyDescent="0.3">
      <c r="D17" s="71" t="s">
        <v>374</v>
      </c>
      <c r="F17" s="71" t="s">
        <v>396</v>
      </c>
      <c r="G17" s="71">
        <f>SUM(I17:AC17)</f>
        <v>236025.10866917123</v>
      </c>
      <c r="I17" s="71">
        <f>'3_MODEL_main'!I15</f>
        <v>11086.453996344255</v>
      </c>
      <c r="J17" s="71">
        <f>'3_MODEL_main'!J15</f>
        <v>15967.690386888291</v>
      </c>
      <c r="K17" s="71">
        <f>'3_MODEL_main'!K15</f>
        <v>17655.919911937624</v>
      </c>
      <c r="L17" s="71">
        <f>'3_MODEL_main'!L15</f>
        <v>16797.422987903134</v>
      </c>
      <c r="M17" s="71">
        <f>'3_MODEL_main'!M15</f>
        <v>15975.787702006817</v>
      </c>
      <c r="N17" s="71">
        <f>'3_MODEL_main'!N15</f>
        <v>15189.799448555221</v>
      </c>
      <c r="O17" s="71">
        <f>'3_MODEL_main'!O15</f>
        <v>14467.194721930618</v>
      </c>
      <c r="P17" s="71">
        <f>'3_MODEL_main'!P15</f>
        <v>13773.204731973346</v>
      </c>
      <c r="Q17" s="71">
        <f>'3_MODEL_main'!Q15</f>
        <v>12872.153955115276</v>
      </c>
      <c r="R17" s="71">
        <f>'3_MODEL_main'!R15</f>
        <v>12030.050425341378</v>
      </c>
      <c r="S17" s="71">
        <f>'3_MODEL_main'!S15</f>
        <v>11243.037780692879</v>
      </c>
      <c r="T17" s="71">
        <f>'3_MODEL_main'!T15</f>
        <v>10507.511944572781</v>
      </c>
      <c r="U17" s="71">
        <f>'3_MODEL_main'!U15</f>
        <v>9820.1046210960594</v>
      </c>
      <c r="V17" s="71">
        <f>'3_MODEL_main'!V15</f>
        <v>9177.6678701832334</v>
      </c>
      <c r="W17" s="71">
        <f>'3_MODEL_main'!W15</f>
        <v>8577.2596917600313</v>
      </c>
      <c r="X17" s="71">
        <f>'3_MODEL_main'!X15</f>
        <v>8016.1305530467571</v>
      </c>
      <c r="Y17" s="71">
        <f>'3_MODEL_main'!Y15</f>
        <v>7491.7107972399608</v>
      </c>
      <c r="Z17" s="71">
        <f>'3_MODEL_main'!Z15</f>
        <v>7001.5988759251968</v>
      </c>
      <c r="AA17" s="71">
        <f>'3_MODEL_main'!AA15</f>
        <v>6543.55035133196</v>
      </c>
      <c r="AB17" s="71">
        <f>'3_MODEL_main'!AB15</f>
        <v>6115.4676180672514</v>
      </c>
      <c r="AC17" s="71">
        <f>'3_MODEL_main'!AC15</f>
        <v>5715.390297259114</v>
      </c>
    </row>
    <row r="18" spans="1:29" s="31" customFormat="1" x14ac:dyDescent="0.3">
      <c r="D18" s="71" t="s">
        <v>375</v>
      </c>
      <c r="F18" s="71" t="s">
        <v>397</v>
      </c>
      <c r="G18" s="71">
        <f>SUM(I18:AC18)</f>
        <v>4988612.1755240634</v>
      </c>
      <c r="I18" s="71">
        <f>'3_MODEL_main'!I18</f>
        <v>367551.8345711584</v>
      </c>
      <c r="J18" s="71">
        <f>'3_MODEL_main'!J18</f>
        <v>291280.04096851335</v>
      </c>
      <c r="K18" s="71">
        <f>'3_MODEL_main'!K18</f>
        <v>251776.02606682951</v>
      </c>
      <c r="L18" s="71">
        <f>'3_MODEL_main'!L18</f>
        <v>248807.79274981419</v>
      </c>
      <c r="M18" s="71">
        <f>'3_MODEL_main'!M18</f>
        <v>245798.87548099508</v>
      </c>
      <c r="N18" s="71">
        <f>'3_MODEL_main'!N18</f>
        <v>246868.63958586717</v>
      </c>
      <c r="O18" s="71">
        <f>'3_MODEL_main'!O18</f>
        <v>243672.92904106632</v>
      </c>
      <c r="P18" s="71">
        <f>'3_MODEL_main'!P18</f>
        <v>240453.94875928873</v>
      </c>
      <c r="Q18" s="71">
        <f>'3_MODEL_main'!Q18</f>
        <v>237215.76529651097</v>
      </c>
      <c r="R18" s="71">
        <f>'3_MODEL_main'!R18</f>
        <v>233962.22806251663</v>
      </c>
      <c r="S18" s="71">
        <f>'3_MODEL_main'!S18</f>
        <v>230696.97852038196</v>
      </c>
      <c r="T18" s="71">
        <f>'3_MODEL_main'!T18</f>
        <v>227423.45903428245</v>
      </c>
      <c r="U18" s="71">
        <f>'3_MODEL_main'!U18</f>
        <v>224144.92137830137</v>
      </c>
      <c r="V18" s="71">
        <f>'3_MODEL_main'!V18</f>
        <v>224112.44131434278</v>
      </c>
      <c r="W18" s="71">
        <f>'3_MODEL_main'!W18</f>
        <v>220738.2987477697</v>
      </c>
      <c r="X18" s="71">
        <f>'3_MODEL_main'!X18</f>
        <v>217370.58545203393</v>
      </c>
      <c r="Y18" s="71">
        <f>'3_MODEL_main'!Y18</f>
        <v>214011.78931418635</v>
      </c>
      <c r="Z18" s="71">
        <f>'3_MODEL_main'!Z18</f>
        <v>210664.24784163432</v>
      </c>
      <c r="AA18" s="71">
        <f>'3_MODEL_main'!AA18</f>
        <v>207330.15481155663</v>
      </c>
      <c r="AB18" s="71">
        <f>'3_MODEL_main'!AB18</f>
        <v>204011.56666054507</v>
      </c>
      <c r="AC18" s="71">
        <f>'3_MODEL_main'!AC18</f>
        <v>200719.6518664691</v>
      </c>
    </row>
    <row r="19" spans="1:29" s="31" customFormat="1" x14ac:dyDescent="0.3">
      <c r="D19" s="22" t="s">
        <v>319</v>
      </c>
      <c r="F19" s="71" t="s">
        <v>396</v>
      </c>
      <c r="G19" s="71">
        <f>SUM(I19:AC19)</f>
        <v>117503431.91831872</v>
      </c>
      <c r="I19" s="71">
        <f>'5_Safety'!I38</f>
        <v>7437580.9057312366</v>
      </c>
      <c r="J19" s="71">
        <f>'5_Safety'!J38</f>
        <v>6657163.0102352249</v>
      </c>
      <c r="K19" s="71">
        <f>'5_Safety'!K38</f>
        <v>5442562.5264395922</v>
      </c>
      <c r="L19" s="71">
        <f>'5_Safety'!L38</f>
        <v>5442562.5264395922</v>
      </c>
      <c r="M19" s="71">
        <f>'5_Safety'!M38</f>
        <v>5442562.5264395922</v>
      </c>
      <c r="N19" s="71">
        <f>'5_Safety'!N38</f>
        <v>5442562.5264395922</v>
      </c>
      <c r="O19" s="71">
        <f>'5_Safety'!O38</f>
        <v>5442562.5264395922</v>
      </c>
      <c r="P19" s="71">
        <f>'5_Safety'!P38</f>
        <v>5442562.5264395922</v>
      </c>
      <c r="Q19" s="71">
        <f>'5_Safety'!Q38</f>
        <v>5442562.5264395922</v>
      </c>
      <c r="R19" s="71">
        <f>'5_Safety'!R38</f>
        <v>5442562.5264395922</v>
      </c>
      <c r="S19" s="71">
        <f>'5_Safety'!S38</f>
        <v>5442562.5264395922</v>
      </c>
      <c r="T19" s="71">
        <f>'5_Safety'!T38</f>
        <v>5442562.5264395922</v>
      </c>
      <c r="U19" s="71">
        <f>'5_Safety'!U38</f>
        <v>5442562.5264395922</v>
      </c>
      <c r="V19" s="71">
        <f>'5_Safety'!V38</f>
        <v>5442562.5264395922</v>
      </c>
      <c r="W19" s="71">
        <f>'5_Safety'!W38</f>
        <v>5442562.5264395922</v>
      </c>
      <c r="X19" s="71">
        <f>'5_Safety'!X38</f>
        <v>5442562.5264395922</v>
      </c>
      <c r="Y19" s="71">
        <f>'5_Safety'!Y38</f>
        <v>5442562.5264395922</v>
      </c>
      <c r="Z19" s="71">
        <f>'5_Safety'!Z38</f>
        <v>5442562.5264395922</v>
      </c>
      <c r="AA19" s="71">
        <f>'5_Safety'!AA38</f>
        <v>5442562.5264395922</v>
      </c>
      <c r="AB19" s="71">
        <f>'5_Safety'!AB38</f>
        <v>5442562.5264395922</v>
      </c>
      <c r="AC19" s="71">
        <f>'5_Safety'!AC38</f>
        <v>5442562.5264395922</v>
      </c>
    </row>
    <row r="20" spans="1:29" s="31" customFormat="1" x14ac:dyDescent="0.3"/>
    <row r="21" spans="1:29" s="31" customFormat="1" x14ac:dyDescent="0.3"/>
    <row r="22" spans="1:29" s="31" customFormat="1" x14ac:dyDescent="0.3">
      <c r="A22" s="31" t="s">
        <v>310</v>
      </c>
    </row>
    <row r="23" spans="1:29" s="31" customFormat="1" x14ac:dyDescent="0.3">
      <c r="D23" s="12" t="s">
        <v>307</v>
      </c>
      <c r="G23" s="71">
        <f t="shared" ref="G23:G27" si="4">SUM(I23:AC23)</f>
        <v>-23451124.444833338</v>
      </c>
      <c r="I23" s="73">
        <f t="shared" ref="I23:I27" si="5">I4-I13</f>
        <v>-9802505.561944589</v>
      </c>
      <c r="J23" s="73">
        <f t="shared" ref="J23:AC23" si="6">J4-J13</f>
        <v>-16911888.40740433</v>
      </c>
      <c r="K23" s="73">
        <f t="shared" si="6"/>
        <v>-16191609.609688861</v>
      </c>
      <c r="L23" s="73">
        <f t="shared" si="6"/>
        <v>2270819.8814245705</v>
      </c>
      <c r="M23" s="73">
        <f t="shared" si="6"/>
        <v>2509045.7820359096</v>
      </c>
      <c r="N23" s="73">
        <f t="shared" si="6"/>
        <v>2344902.6000335603</v>
      </c>
      <c r="O23" s="73">
        <f t="shared" si="6"/>
        <v>2191497.7570407107</v>
      </c>
      <c r="P23" s="73">
        <f t="shared" si="6"/>
        <v>3206144.3449270953</v>
      </c>
      <c r="Q23" s="73">
        <f t="shared" si="6"/>
        <v>1914139.0139232341</v>
      </c>
      <c r="R23" s="73">
        <f t="shared" si="6"/>
        <v>1649126.6053212343</v>
      </c>
      <c r="S23" s="73">
        <f t="shared" si="6"/>
        <v>1541239.8180572283</v>
      </c>
      <c r="T23" s="73">
        <f t="shared" si="6"/>
        <v>944889.25828104455</v>
      </c>
      <c r="U23" s="73">
        <f t="shared" si="6"/>
        <v>883074.07315985486</v>
      </c>
      <c r="V23" s="73">
        <f t="shared" si="6"/>
        <v>0</v>
      </c>
      <c r="W23" s="73">
        <f t="shared" si="6"/>
        <v>0</v>
      </c>
      <c r="X23" s="73">
        <f t="shared" si="6"/>
        <v>0</v>
      </c>
      <c r="Y23" s="73">
        <f t="shared" si="6"/>
        <v>0</v>
      </c>
      <c r="Z23" s="73">
        <f t="shared" si="6"/>
        <v>0</v>
      </c>
      <c r="AA23" s="73">
        <f t="shared" si="6"/>
        <v>0</v>
      </c>
      <c r="AB23" s="73">
        <f t="shared" si="6"/>
        <v>0</v>
      </c>
      <c r="AC23" s="73">
        <f t="shared" si="6"/>
        <v>0</v>
      </c>
    </row>
    <row r="24" spans="1:29" s="31" customFormat="1" x14ac:dyDescent="0.3">
      <c r="D24" s="71" t="s">
        <v>309</v>
      </c>
      <c r="G24" s="71">
        <f t="shared" si="4"/>
        <v>89250864.91743277</v>
      </c>
      <c r="I24" s="73">
        <f t="shared" si="5"/>
        <v>825251.17943154275</v>
      </c>
      <c r="J24" s="73">
        <f t="shared" ref="J24:AC24" si="7">J5-J14</f>
        <v>3391225.3954574615</v>
      </c>
      <c r="K24" s="73">
        <f t="shared" si="7"/>
        <v>6356721.6356497053</v>
      </c>
      <c r="L24" s="73">
        <f t="shared" si="7"/>
        <v>6653089.6475476641</v>
      </c>
      <c r="M24" s="73">
        <f t="shared" si="7"/>
        <v>6269923.0613846332</v>
      </c>
      <c r="N24" s="73">
        <f t="shared" si="7"/>
        <v>5859741.1788641419</v>
      </c>
      <c r="O24" s="73">
        <f t="shared" si="7"/>
        <v>5476393.6251066756</v>
      </c>
      <c r="P24" s="73">
        <f t="shared" si="7"/>
        <v>5815403.9598314334</v>
      </c>
      <c r="Q24" s="73">
        <f t="shared" si="7"/>
        <v>5434956.9718050789</v>
      </c>
      <c r="R24" s="73">
        <f t="shared" si="7"/>
        <v>5079399.0390701666</v>
      </c>
      <c r="S24" s="73">
        <f t="shared" si="7"/>
        <v>4747101.905673054</v>
      </c>
      <c r="T24" s="73">
        <f t="shared" si="7"/>
        <v>4436543.8370776195</v>
      </c>
      <c r="U24" s="73">
        <f t="shared" si="7"/>
        <v>4146302.6514744116</v>
      </c>
      <c r="V24" s="73">
        <f t="shared" si="7"/>
        <v>3875049.2069854299</v>
      </c>
      <c r="W24" s="73">
        <f t="shared" si="7"/>
        <v>3621541.3149396544</v>
      </c>
      <c r="X24" s="73">
        <f t="shared" si="7"/>
        <v>3384618.0513454713</v>
      </c>
      <c r="Y24" s="73">
        <f t="shared" si="7"/>
        <v>3163194.4405097878</v>
      </c>
      <c r="Z24" s="73">
        <f t="shared" si="7"/>
        <v>2956256.4864577446</v>
      </c>
      <c r="AA24" s="73">
        <f t="shared" si="7"/>
        <v>2762856.529399761</v>
      </c>
      <c r="AB24" s="73">
        <f t="shared" si="7"/>
        <v>2582108.9059810853</v>
      </c>
      <c r="AC24" s="73">
        <f t="shared" si="7"/>
        <v>2413185.8934402671</v>
      </c>
    </row>
    <row r="25" spans="1:29" s="31" customFormat="1" x14ac:dyDescent="0.3">
      <c r="D25" s="73" t="str">
        <f>D15</f>
        <v>Emissions: Nox</v>
      </c>
      <c r="F25" s="71" t="s">
        <v>396</v>
      </c>
      <c r="G25" s="71">
        <f t="shared" si="4"/>
        <v>12162674.704288503</v>
      </c>
      <c r="I25" s="73">
        <f t="shared" si="5"/>
        <v>401412.22855273844</v>
      </c>
      <c r="J25" s="73">
        <f t="shared" ref="J25:AC25" si="8">J6-J15</f>
        <v>876446.55557927163</v>
      </c>
      <c r="K25" s="73">
        <f t="shared" si="8"/>
        <v>1157103.9063709485</v>
      </c>
      <c r="L25" s="73">
        <f t="shared" si="8"/>
        <v>1095189.8774184268</v>
      </c>
      <c r="M25" s="73">
        <f t="shared" si="8"/>
        <v>1036228.3296153921</v>
      </c>
      <c r="N25" s="73">
        <f t="shared" si="8"/>
        <v>964868.04081940092</v>
      </c>
      <c r="O25" s="73">
        <f t="shared" si="8"/>
        <v>880202.70277316181</v>
      </c>
      <c r="P25" s="73">
        <f t="shared" si="8"/>
        <v>787064.45099873364</v>
      </c>
      <c r="Q25" s="73">
        <f t="shared" si="8"/>
        <v>686438.72634223336</v>
      </c>
      <c r="R25" s="73">
        <f t="shared" si="8"/>
        <v>595610.46674263757</v>
      </c>
      <c r="S25" s="73">
        <f t="shared" si="8"/>
        <v>513728.42386846978</v>
      </c>
      <c r="T25" s="73">
        <f t="shared" si="8"/>
        <v>444978.07036669226</v>
      </c>
      <c r="U25" s="73">
        <f t="shared" si="8"/>
        <v>390659.34738168825</v>
      </c>
      <c r="V25" s="73">
        <f t="shared" si="8"/>
        <v>365102.19381466188</v>
      </c>
      <c r="W25" s="73">
        <f t="shared" si="8"/>
        <v>341217.00356510456</v>
      </c>
      <c r="X25" s="73">
        <f t="shared" si="8"/>
        <v>318894.3958552379</v>
      </c>
      <c r="Y25" s="73">
        <f t="shared" si="8"/>
        <v>298032.14565910085</v>
      </c>
      <c r="Z25" s="73">
        <f t="shared" si="8"/>
        <v>278534.71556925314</v>
      </c>
      <c r="AA25" s="73">
        <f t="shared" si="8"/>
        <v>260312.81828902167</v>
      </c>
      <c r="AB25" s="73">
        <f t="shared" si="8"/>
        <v>243283.00774674918</v>
      </c>
      <c r="AC25" s="73">
        <f t="shared" si="8"/>
        <v>227367.2969595787</v>
      </c>
    </row>
    <row r="26" spans="1:29" s="31" customFormat="1" x14ac:dyDescent="0.3">
      <c r="D26" s="73" t="str">
        <f>D16</f>
        <v>Emissions: PM2.5</v>
      </c>
      <c r="F26" s="71" t="s">
        <v>396</v>
      </c>
      <c r="G26" s="71">
        <f t="shared" si="4"/>
        <v>3225482.8662689826</v>
      </c>
      <c r="I26" s="73">
        <f t="shared" si="5"/>
        <v>36706.615947536891</v>
      </c>
      <c r="J26" s="73">
        <f t="shared" ref="J26:AC26" si="9">J7-J16</f>
        <v>201540.69451110472</v>
      </c>
      <c r="K26" s="73">
        <f t="shared" si="9"/>
        <v>443840.60831718135</v>
      </c>
      <c r="L26" s="73">
        <f t="shared" si="9"/>
        <v>418850.11617854872</v>
      </c>
      <c r="M26" s="73">
        <f t="shared" si="9"/>
        <v>397154.64018097334</v>
      </c>
      <c r="N26" s="73">
        <f t="shared" si="9"/>
        <v>363097.21518622397</v>
      </c>
      <c r="O26" s="73">
        <f t="shared" si="9"/>
        <v>317147.1862951807</v>
      </c>
      <c r="P26" s="73">
        <f t="shared" si="9"/>
        <v>258620.75092098705</v>
      </c>
      <c r="Q26" s="73">
        <f t="shared" si="9"/>
        <v>200680.42727110747</v>
      </c>
      <c r="R26" s="73">
        <f t="shared" si="9"/>
        <v>149214.2225864119</v>
      </c>
      <c r="S26" s="73">
        <f t="shared" si="9"/>
        <v>102878.55811378961</v>
      </c>
      <c r="T26" s="73">
        <f t="shared" si="9"/>
        <v>66868.495684511348</v>
      </c>
      <c r="U26" s="73">
        <f t="shared" si="9"/>
        <v>38570.05044838645</v>
      </c>
      <c r="V26" s="73">
        <f t="shared" si="9"/>
        <v>36046.776119987349</v>
      </c>
      <c r="W26" s="73">
        <f t="shared" si="9"/>
        <v>33688.575813072282</v>
      </c>
      <c r="X26" s="73">
        <f t="shared" si="9"/>
        <v>31484.650292590915</v>
      </c>
      <c r="Y26" s="73">
        <f t="shared" si="9"/>
        <v>29424.906815505528</v>
      </c>
      <c r="Z26" s="73">
        <f t="shared" si="9"/>
        <v>27499.91291168741</v>
      </c>
      <c r="AA26" s="73">
        <f t="shared" si="9"/>
        <v>25700.853188492911</v>
      </c>
      <c r="AB26" s="73">
        <f t="shared" si="9"/>
        <v>24019.488961208328</v>
      </c>
      <c r="AC26" s="73">
        <f t="shared" si="9"/>
        <v>22448.120524493759</v>
      </c>
    </row>
    <row r="27" spans="1:29" s="31" customFormat="1" x14ac:dyDescent="0.3">
      <c r="D27" s="73" t="str">
        <f>D17</f>
        <v>Emissions: SOx</v>
      </c>
      <c r="F27" s="71" t="s">
        <v>396</v>
      </c>
      <c r="G27" s="71">
        <f t="shared" si="4"/>
        <v>-192643.11881310114</v>
      </c>
      <c r="I27" s="73">
        <f t="shared" si="5"/>
        <v>-5001.7291177566622</v>
      </c>
      <c r="J27" s="73">
        <f t="shared" ref="J27:AC27" si="10">J8-J17</f>
        <v>-10162.284687084444</v>
      </c>
      <c r="K27" s="73">
        <f t="shared" si="10"/>
        <v>-12119.328664673547</v>
      </c>
      <c r="L27" s="73">
        <f t="shared" si="10"/>
        <v>-12409.671974829869</v>
      </c>
      <c r="M27" s="73">
        <f t="shared" si="10"/>
        <v>-12639.012239969717</v>
      </c>
      <c r="N27" s="73">
        <f t="shared" si="10"/>
        <v>-12812.162561593539</v>
      </c>
      <c r="O27" s="73">
        <f t="shared" si="10"/>
        <v>-12959.523910269889</v>
      </c>
      <c r="P27" s="73">
        <f t="shared" si="10"/>
        <v>-12247.908136842701</v>
      </c>
      <c r="Q27" s="73">
        <f t="shared" si="10"/>
        <v>-11444.600260394278</v>
      </c>
      <c r="R27" s="73">
        <f t="shared" si="10"/>
        <v>-10693.978880601848</v>
      </c>
      <c r="S27" s="73">
        <f t="shared" si="10"/>
        <v>-9992.5826101750845</v>
      </c>
      <c r="T27" s="73">
        <f t="shared" si="10"/>
        <v>-9337.2003860127879</v>
      </c>
      <c r="U27" s="73">
        <f t="shared" si="10"/>
        <v>-8724.792852964656</v>
      </c>
      <c r="V27" s="73">
        <f t="shared" si="10"/>
        <v>-8154.0120121165</v>
      </c>
      <c r="W27" s="73">
        <f t="shared" si="10"/>
        <v>-7620.571973940655</v>
      </c>
      <c r="X27" s="73">
        <f t="shared" si="10"/>
        <v>-7122.0298821875267</v>
      </c>
      <c r="Y27" s="73">
        <f t="shared" si="10"/>
        <v>-6656.1026936332037</v>
      </c>
      <c r="Z27" s="73">
        <f t="shared" si="10"/>
        <v>-6220.6567230216851</v>
      </c>
      <c r="AA27" s="73">
        <f t="shared" si="10"/>
        <v>-5813.697871982884</v>
      </c>
      <c r="AB27" s="73">
        <f t="shared" si="10"/>
        <v>-5433.3624971802637</v>
      </c>
      <c r="AC27" s="73">
        <f t="shared" si="10"/>
        <v>-5077.9088758694061</v>
      </c>
    </row>
    <row r="28" spans="1:29" s="31" customFormat="1" x14ac:dyDescent="0.3">
      <c r="D28" s="73" t="str">
        <f>D18</f>
        <v>Emissions: CO2</v>
      </c>
      <c r="F28" s="71" t="s">
        <v>397</v>
      </c>
      <c r="G28" s="71">
        <f>SUM(I28:AC28)</f>
        <v>11037147.245082475</v>
      </c>
      <c r="I28" s="73">
        <f>I9-I18</f>
        <v>68458.70321912755</v>
      </c>
      <c r="J28" s="73">
        <f t="shared" ref="J28:AC28" si="11">J9-J18</f>
        <v>289859.90052345046</v>
      </c>
      <c r="K28" s="73">
        <f t="shared" si="11"/>
        <v>470964.60509590473</v>
      </c>
      <c r="L28" s="73">
        <f t="shared" si="11"/>
        <v>611933.01934849785</v>
      </c>
      <c r="M28" s="73">
        <f t="shared" si="11"/>
        <v>604532.70519865234</v>
      </c>
      <c r="N28" s="73">
        <f t="shared" si="11"/>
        <v>607163.74810711655</v>
      </c>
      <c r="O28" s="73">
        <f t="shared" si="11"/>
        <v>599304.02321252599</v>
      </c>
      <c r="P28" s="73">
        <f t="shared" si="11"/>
        <v>605239.06280164048</v>
      </c>
      <c r="Q28" s="73">
        <f t="shared" si="11"/>
        <v>597088.33317418338</v>
      </c>
      <c r="R28" s="73">
        <f t="shared" si="11"/>
        <v>588898.95705266949</v>
      </c>
      <c r="S28" s="73">
        <f t="shared" si="11"/>
        <v>580680.10024914332</v>
      </c>
      <c r="T28" s="73">
        <f t="shared" si="11"/>
        <v>572440.42743007408</v>
      </c>
      <c r="U28" s="73">
        <f t="shared" si="11"/>
        <v>564188.12353361247</v>
      </c>
      <c r="V28" s="73">
        <f t="shared" si="11"/>
        <v>564106.36898738227</v>
      </c>
      <c r="W28" s="73">
        <f t="shared" si="11"/>
        <v>555613.42098095908</v>
      </c>
      <c r="X28" s="73">
        <f t="shared" si="11"/>
        <v>547136.65588970995</v>
      </c>
      <c r="Y28" s="73">
        <f t="shared" si="11"/>
        <v>538682.33589579014</v>
      </c>
      <c r="Z28" s="73">
        <f t="shared" si="11"/>
        <v>530256.34466548916</v>
      </c>
      <c r="AA28" s="73">
        <f t="shared" si="11"/>
        <v>521864.20408626407</v>
      </c>
      <c r="AB28" s="73">
        <f t="shared" si="11"/>
        <v>513511.09034990554</v>
      </c>
      <c r="AC28" s="73">
        <f t="shared" si="11"/>
        <v>505225.11528037605</v>
      </c>
    </row>
    <row r="29" spans="1:29" s="31" customFormat="1" x14ac:dyDescent="0.3">
      <c r="D29" s="22" t="s">
        <v>319</v>
      </c>
      <c r="F29" s="71" t="s">
        <v>396</v>
      </c>
      <c r="G29" s="71">
        <f>SUM(I29:AC29)</f>
        <v>50784045.849603988</v>
      </c>
      <c r="I29" s="73">
        <f>I10-I19</f>
        <v>295920.1279293187</v>
      </c>
      <c r="J29" s="73">
        <f t="shared" ref="J29:AC29" si="12">J10-J19</f>
        <v>1076338.0234253304</v>
      </c>
      <c r="K29" s="73">
        <f t="shared" si="12"/>
        <v>2290938.507220963</v>
      </c>
      <c r="L29" s="73">
        <f t="shared" si="12"/>
        <v>2290938.507220963</v>
      </c>
      <c r="M29" s="73">
        <f t="shared" si="12"/>
        <v>2290938.507220963</v>
      </c>
      <c r="N29" s="73">
        <f t="shared" si="12"/>
        <v>2290938.507220963</v>
      </c>
      <c r="O29" s="73">
        <f t="shared" si="12"/>
        <v>2290938.507220963</v>
      </c>
      <c r="P29" s="73">
        <f t="shared" si="12"/>
        <v>2711221.0830103233</v>
      </c>
      <c r="Q29" s="73">
        <f t="shared" si="12"/>
        <v>2711221.0830103233</v>
      </c>
      <c r="R29" s="73">
        <f t="shared" si="12"/>
        <v>2711221.0830103233</v>
      </c>
      <c r="S29" s="73">
        <f t="shared" si="12"/>
        <v>2711221.0830103233</v>
      </c>
      <c r="T29" s="73">
        <f t="shared" si="12"/>
        <v>2711221.0830103233</v>
      </c>
      <c r="U29" s="73">
        <f t="shared" si="12"/>
        <v>2711221.0830103233</v>
      </c>
      <c r="V29" s="73">
        <f t="shared" si="12"/>
        <v>2711221.0830103233</v>
      </c>
      <c r="W29" s="73">
        <f t="shared" si="12"/>
        <v>2711221.0830103233</v>
      </c>
      <c r="X29" s="73">
        <f t="shared" si="12"/>
        <v>2711221.0830103233</v>
      </c>
      <c r="Y29" s="73">
        <f t="shared" si="12"/>
        <v>2711221.0830103233</v>
      </c>
      <c r="Z29" s="73">
        <f t="shared" si="12"/>
        <v>2711221.0830103233</v>
      </c>
      <c r="AA29" s="73">
        <f t="shared" si="12"/>
        <v>2711221.0830103233</v>
      </c>
      <c r="AB29" s="73">
        <f t="shared" si="12"/>
        <v>2711221.0830103233</v>
      </c>
      <c r="AC29" s="73">
        <f t="shared" si="12"/>
        <v>2711221.0830103233</v>
      </c>
    </row>
    <row r="30" spans="1:29" s="31" customFormat="1" x14ac:dyDescent="0.3">
      <c r="D30" s="73"/>
      <c r="G30" s="73"/>
      <c r="I30" s="73"/>
      <c r="J30" s="73"/>
      <c r="K30" s="73"/>
      <c r="L30" s="73"/>
      <c r="M30" s="73"/>
      <c r="N30" s="73"/>
      <c r="O30" s="73"/>
      <c r="P30" s="73"/>
      <c r="Q30" s="73"/>
      <c r="R30" s="73"/>
      <c r="S30" s="73"/>
      <c r="T30" s="73"/>
      <c r="U30" s="73"/>
      <c r="V30" s="73"/>
      <c r="W30" s="73"/>
      <c r="X30" s="73"/>
      <c r="Y30" s="73"/>
      <c r="Z30" s="73"/>
      <c r="AA30" s="73"/>
      <c r="AB30" s="73"/>
      <c r="AC30" s="73"/>
    </row>
    <row r="31" spans="1:29" s="31" customFormat="1" x14ac:dyDescent="0.3">
      <c r="G31" s="76"/>
    </row>
    <row r="32" spans="1:29" s="31" customFormat="1" x14ac:dyDescent="0.3">
      <c r="D32" s="31" t="s">
        <v>311</v>
      </c>
      <c r="G32" s="14">
        <f>SUM(G23:G31)</f>
        <v>142816448.01903027</v>
      </c>
      <c r="I32" s="14">
        <f>SUM(I23:I31)</f>
        <v>-8179758.435982082</v>
      </c>
      <c r="J32" s="14">
        <f>SUM(J23:J31)</f>
        <v>-11086640.122594796</v>
      </c>
      <c r="K32" s="14">
        <f>SUM(K23:K31)</f>
        <v>-5484159.6756988317</v>
      </c>
      <c r="L32" s="14">
        <f>SUM(L23:L31)</f>
        <v>13328411.37716384</v>
      </c>
      <c r="M32" s="14">
        <f>SUM(M23:M31)</f>
        <v>13095184.013396554</v>
      </c>
      <c r="N32" s="14">
        <f>SUM(N23:N31)</f>
        <v>12417899.127669813</v>
      </c>
      <c r="O32" s="14">
        <f>SUM(O23:O31)</f>
        <v>11742524.277738949</v>
      </c>
      <c r="P32" s="14">
        <f>SUM(P23:P31)</f>
        <v>13371445.744353369</v>
      </c>
      <c r="Q32" s="14">
        <f>SUM(Q23:Q31)</f>
        <v>11533079.955265766</v>
      </c>
      <c r="R32" s="14">
        <f>SUM(R23:R31)</f>
        <v>10762776.39490284</v>
      </c>
      <c r="S32" s="14">
        <f>SUM(S23:S31)</f>
        <v>10186857.306361834</v>
      </c>
      <c r="T32" s="14">
        <f>SUM(T23:T31)</f>
        <v>9167603.9714642502</v>
      </c>
      <c r="U32" s="14">
        <f>SUM(U23:U31)</f>
        <v>8725290.5361553133</v>
      </c>
      <c r="V32" s="14">
        <f>SUM(V23:V31)</f>
        <v>7543371.6169056688</v>
      </c>
      <c r="W32" s="14">
        <f>SUM(W23:W31)</f>
        <v>7255660.8263351731</v>
      </c>
      <c r="X32" s="14">
        <f>SUM(X23:X31)</f>
        <v>6986232.8065111451</v>
      </c>
      <c r="Y32" s="14">
        <f>SUM(Y23:Y31)</f>
        <v>6733898.8091968745</v>
      </c>
      <c r="Z32" s="14">
        <f>SUM(Z23:Z31)</f>
        <v>6497547.8858914766</v>
      </c>
      <c r="AA32" s="14">
        <f>SUM(AA23:AA31)</f>
        <v>6276141.7901018802</v>
      </c>
      <c r="AB32" s="14">
        <f>SUM(AB23:AB31)</f>
        <v>6068710.2135520913</v>
      </c>
      <c r="AC32" s="14">
        <f>SUM(AC23:AC31)</f>
        <v>5874369.6003391696</v>
      </c>
    </row>
    <row r="34" spans="1:34" x14ac:dyDescent="0.3">
      <c r="A34" s="1" t="s">
        <v>103</v>
      </c>
    </row>
    <row r="35" spans="1:34" x14ac:dyDescent="0.3">
      <c r="D35" t="s">
        <v>104</v>
      </c>
      <c r="E35" s="30" t="s">
        <v>13</v>
      </c>
      <c r="G35" s="29">
        <f>G13</f>
        <v>43110078.048260488</v>
      </c>
      <c r="H35" s="24">
        <f>'2_MODEL_Costs'!H17</f>
        <v>0</v>
      </c>
      <c r="I35" s="29">
        <f>I13</f>
        <v>9802505.561944589</v>
      </c>
      <c r="J35" s="29">
        <f>J13</f>
        <v>16911888.40740433</v>
      </c>
      <c r="K35" s="29">
        <f t="shared" ref="K35:AC35" si="13">K13</f>
        <v>16191609.609688861</v>
      </c>
      <c r="L35" s="29">
        <f t="shared" si="13"/>
        <v>204074.46922271297</v>
      </c>
      <c r="M35" s="29">
        <f t="shared" si="13"/>
        <v>0</v>
      </c>
      <c r="N35" s="29">
        <f t="shared" si="13"/>
        <v>0</v>
      </c>
      <c r="O35" s="29">
        <f t="shared" si="13"/>
        <v>0</v>
      </c>
      <c r="P35" s="29">
        <f t="shared" si="13"/>
        <v>0</v>
      </c>
      <c r="Q35" s="29">
        <f t="shared" si="13"/>
        <v>0</v>
      </c>
      <c r="R35" s="29">
        <f t="shared" si="13"/>
        <v>0</v>
      </c>
      <c r="S35" s="29">
        <f t="shared" si="13"/>
        <v>0</v>
      </c>
      <c r="T35" s="29">
        <f t="shared" si="13"/>
        <v>0</v>
      </c>
      <c r="U35" s="29">
        <f t="shared" si="13"/>
        <v>0</v>
      </c>
      <c r="V35" s="29">
        <f t="shared" si="13"/>
        <v>0</v>
      </c>
      <c r="W35" s="29">
        <f t="shared" si="13"/>
        <v>0</v>
      </c>
      <c r="X35" s="29">
        <f t="shared" si="13"/>
        <v>0</v>
      </c>
      <c r="Y35" s="29">
        <f t="shared" si="13"/>
        <v>0</v>
      </c>
      <c r="Z35" s="29">
        <f t="shared" si="13"/>
        <v>0</v>
      </c>
      <c r="AA35" s="29">
        <f t="shared" si="13"/>
        <v>0</v>
      </c>
      <c r="AB35" s="29">
        <f t="shared" si="13"/>
        <v>0</v>
      </c>
      <c r="AC35" s="29">
        <f t="shared" si="13"/>
        <v>0</v>
      </c>
      <c r="AD35" s="29"/>
      <c r="AE35" s="29"/>
      <c r="AF35" s="29"/>
      <c r="AG35" s="29"/>
      <c r="AH35" s="29"/>
    </row>
    <row r="37" spans="1:34" x14ac:dyDescent="0.3">
      <c r="A37" s="1" t="s">
        <v>107</v>
      </c>
    </row>
    <row r="38" spans="1:34" ht="21" x14ac:dyDescent="0.4">
      <c r="D38" s="35" t="s">
        <v>106</v>
      </c>
      <c r="E38" s="36" t="s">
        <v>14</v>
      </c>
      <c r="F38" s="36"/>
      <c r="G38" s="37">
        <f>G32/G35</f>
        <v>3.3128320449606097</v>
      </c>
    </row>
    <row r="39" spans="1:34" ht="21" x14ac:dyDescent="0.4">
      <c r="D39" s="35" t="s">
        <v>15</v>
      </c>
      <c r="E39" s="36" t="s">
        <v>13</v>
      </c>
      <c r="F39" s="36"/>
      <c r="G39" s="14">
        <f>G32-G35</f>
        <v>99706369.970769793</v>
      </c>
    </row>
    <row r="41" spans="1:34" x14ac:dyDescent="0.3">
      <c r="A41" s="31" t="s">
        <v>480</v>
      </c>
      <c r="I41" s="87"/>
    </row>
    <row r="42" spans="1:34" x14ac:dyDescent="0.3">
      <c r="G42" s="31" t="s">
        <v>110</v>
      </c>
      <c r="H42" s="31"/>
      <c r="I42" s="31" t="s">
        <v>8</v>
      </c>
      <c r="J42" s="31" t="s">
        <v>483</v>
      </c>
    </row>
    <row r="43" spans="1:34" x14ac:dyDescent="0.3">
      <c r="D43" s="31" t="s">
        <v>481</v>
      </c>
      <c r="E43" t="s">
        <v>484</v>
      </c>
      <c r="G43" s="86">
        <f>('4_Emissions'!G73)</f>
        <v>18744583.199999999</v>
      </c>
      <c r="H43" s="86"/>
      <c r="I43" s="86">
        <f>('4_Emissions'!G53)</f>
        <v>6412128.6155555565</v>
      </c>
      <c r="J43" s="86">
        <f>G43-I43</f>
        <v>12332454.584444443</v>
      </c>
    </row>
    <row r="44" spans="1:34" x14ac:dyDescent="0.3">
      <c r="D44" s="31" t="s">
        <v>482</v>
      </c>
      <c r="E44" t="s">
        <v>485</v>
      </c>
      <c r="G44" s="41">
        <v>0</v>
      </c>
      <c r="I44" s="86">
        <f>('4_Emissions'!G54)</f>
        <v>126694347.46176477</v>
      </c>
      <c r="J44" s="86">
        <f>G44-I44</f>
        <v>-126694347.46176477</v>
      </c>
    </row>
    <row r="46" spans="1:34" x14ac:dyDescent="0.3">
      <c r="A46" s="31" t="s">
        <v>486</v>
      </c>
      <c r="G46" s="31" t="s">
        <v>110</v>
      </c>
      <c r="H46" s="31"/>
      <c r="I46" s="31" t="s">
        <v>8</v>
      </c>
      <c r="J46" s="31" t="s">
        <v>483</v>
      </c>
    </row>
    <row r="47" spans="1:34" x14ac:dyDescent="0.3">
      <c r="D47" s="31" t="s">
        <v>487</v>
      </c>
      <c r="E47" t="s">
        <v>488</v>
      </c>
      <c r="G47" s="86">
        <f>'3_MODEL_main'!G23</f>
        <v>1511.4715433618819</v>
      </c>
      <c r="H47" s="86"/>
      <c r="I47" s="86">
        <f>'3_MODEL_main'!G6</f>
        <v>172.57928213033324</v>
      </c>
      <c r="J47" s="86">
        <f>G47-I47</f>
        <v>1338.8922612315487</v>
      </c>
    </row>
    <row r="48" spans="1:34" x14ac:dyDescent="0.3">
      <c r="D48" s="31" t="s">
        <v>108</v>
      </c>
      <c r="E48" t="s">
        <v>488</v>
      </c>
      <c r="G48" s="86">
        <f>'3_MODEL_main'!G24</f>
        <v>13.553274825115128</v>
      </c>
      <c r="H48" s="86"/>
      <c r="I48" s="86">
        <f>'3_MODEL_main'!G7</f>
        <v>7.091829435464394</v>
      </c>
      <c r="J48" s="86">
        <f>G48-I48</f>
        <v>6.4614453896507342</v>
      </c>
    </row>
    <row r="49" spans="1:10" x14ac:dyDescent="0.3">
      <c r="D49" s="31" t="s">
        <v>322</v>
      </c>
      <c r="E49" t="s">
        <v>488</v>
      </c>
      <c r="G49" s="86">
        <f>'3_MODEL_main'!G25</f>
        <v>1.6026398565684934</v>
      </c>
      <c r="H49" s="86"/>
      <c r="I49" s="86">
        <f>'3_MODEL_main'!G8</f>
        <v>10.137562062615316</v>
      </c>
      <c r="J49" s="86">
        <f>G49-I49</f>
        <v>-8.5349222060468222</v>
      </c>
    </row>
    <row r="50" spans="1:10" x14ac:dyDescent="0.3">
      <c r="D50" s="31" t="s">
        <v>109</v>
      </c>
      <c r="E50" t="s">
        <v>489</v>
      </c>
      <c r="G50" s="86">
        <f>'3_MODEL_main'!G26</f>
        <v>367365.30280799989</v>
      </c>
      <c r="H50" s="86"/>
      <c r="I50" s="86">
        <f>'3_MODEL_main'!G9</f>
        <v>113330.83151626201</v>
      </c>
      <c r="J50" s="86">
        <f>G50-I50</f>
        <v>254034.47129173786</v>
      </c>
    </row>
    <row r="52" spans="1:10" x14ac:dyDescent="0.3">
      <c r="A52" s="3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9A9A0-CE08-4E6F-82DC-0FA0D9AA612E}">
  <dimension ref="A1:AH136"/>
  <sheetViews>
    <sheetView workbookViewId="0">
      <pane xSplit="4" ySplit="2" topLeftCell="E3" activePane="bottomRight" state="frozen"/>
      <selection pane="topRight" activeCell="E1" sqref="E1"/>
      <selection pane="bottomLeft" activeCell="A3" sqref="A3"/>
      <selection pane="bottomRight" activeCell="E3" sqref="E3"/>
    </sheetView>
    <sheetView workbookViewId="1"/>
  </sheetViews>
  <sheetFormatPr defaultRowHeight="14.4" x14ac:dyDescent="0.3"/>
  <cols>
    <col min="1" max="1" width="3" customWidth="1"/>
    <col min="2" max="2" width="3.6640625" customWidth="1"/>
    <col min="4" max="4" width="43.109375" customWidth="1"/>
    <col min="7" max="33" width="12.88671875" customWidth="1"/>
    <col min="34" max="34" width="12.88671875" style="30" customWidth="1"/>
  </cols>
  <sheetData>
    <row r="1" spans="1:34" s="30" customFormat="1" x14ac:dyDescent="0.3">
      <c r="A1" s="31" t="s">
        <v>115</v>
      </c>
      <c r="H1" s="30">
        <v>-1</v>
      </c>
      <c r="I1" s="30">
        <v>0</v>
      </c>
      <c r="J1" s="30">
        <f t="shared" ref="J1:AH1" si="0">I1+1</f>
        <v>1</v>
      </c>
      <c r="K1" s="30">
        <f t="shared" si="0"/>
        <v>2</v>
      </c>
      <c r="L1" s="30">
        <f t="shared" si="0"/>
        <v>3</v>
      </c>
      <c r="M1" s="30">
        <f t="shared" si="0"/>
        <v>4</v>
      </c>
      <c r="N1" s="30">
        <f t="shared" si="0"/>
        <v>5</v>
      </c>
      <c r="O1" s="30">
        <f t="shared" si="0"/>
        <v>6</v>
      </c>
      <c r="P1" s="30">
        <f t="shared" si="0"/>
        <v>7</v>
      </c>
      <c r="Q1" s="30">
        <f t="shared" si="0"/>
        <v>8</v>
      </c>
      <c r="R1" s="30">
        <f t="shared" si="0"/>
        <v>9</v>
      </c>
      <c r="S1" s="30">
        <f t="shared" si="0"/>
        <v>10</v>
      </c>
      <c r="T1" s="30">
        <f t="shared" si="0"/>
        <v>11</v>
      </c>
      <c r="U1" s="30">
        <f t="shared" si="0"/>
        <v>12</v>
      </c>
      <c r="V1" s="30">
        <f t="shared" si="0"/>
        <v>13</v>
      </c>
      <c r="W1" s="30">
        <f t="shared" si="0"/>
        <v>14</v>
      </c>
      <c r="X1" s="30">
        <f t="shared" si="0"/>
        <v>15</v>
      </c>
      <c r="Y1" s="30">
        <f t="shared" si="0"/>
        <v>16</v>
      </c>
      <c r="Z1" s="30">
        <f t="shared" si="0"/>
        <v>17</v>
      </c>
      <c r="AA1" s="30">
        <f t="shared" si="0"/>
        <v>18</v>
      </c>
      <c r="AB1" s="30">
        <f t="shared" si="0"/>
        <v>19</v>
      </c>
      <c r="AC1" s="30">
        <f t="shared" si="0"/>
        <v>20</v>
      </c>
      <c r="AD1" s="30">
        <f t="shared" si="0"/>
        <v>21</v>
      </c>
      <c r="AE1" s="30">
        <f t="shared" si="0"/>
        <v>22</v>
      </c>
      <c r="AF1" s="30">
        <f t="shared" si="0"/>
        <v>23</v>
      </c>
      <c r="AG1" s="30">
        <f t="shared" si="0"/>
        <v>24</v>
      </c>
      <c r="AH1" s="30">
        <f t="shared" si="0"/>
        <v>25</v>
      </c>
    </row>
    <row r="2" spans="1:34" s="31" customFormat="1" x14ac:dyDescent="0.3">
      <c r="E2" s="31" t="s">
        <v>3</v>
      </c>
      <c r="F2" s="31" t="s">
        <v>4</v>
      </c>
      <c r="G2" s="31" t="s">
        <v>301</v>
      </c>
      <c r="H2" s="31">
        <v>2022</v>
      </c>
      <c r="I2" s="31">
        <v>2023</v>
      </c>
      <c r="J2" s="31">
        <f t="shared" ref="J2:AH2" si="1">I2+1</f>
        <v>2024</v>
      </c>
      <c r="K2" s="31">
        <f t="shared" si="1"/>
        <v>2025</v>
      </c>
      <c r="L2" s="31">
        <f t="shared" si="1"/>
        <v>2026</v>
      </c>
      <c r="M2" s="31">
        <f t="shared" si="1"/>
        <v>2027</v>
      </c>
      <c r="N2" s="31">
        <f t="shared" si="1"/>
        <v>2028</v>
      </c>
      <c r="O2" s="31">
        <f t="shared" si="1"/>
        <v>2029</v>
      </c>
      <c r="P2" s="31">
        <f t="shared" si="1"/>
        <v>2030</v>
      </c>
      <c r="Q2" s="31">
        <f t="shared" si="1"/>
        <v>2031</v>
      </c>
      <c r="R2" s="31">
        <f t="shared" si="1"/>
        <v>2032</v>
      </c>
      <c r="S2" s="31">
        <f t="shared" si="1"/>
        <v>2033</v>
      </c>
      <c r="T2" s="31">
        <f t="shared" si="1"/>
        <v>2034</v>
      </c>
      <c r="U2" s="31">
        <f t="shared" si="1"/>
        <v>2035</v>
      </c>
      <c r="V2" s="31">
        <f t="shared" si="1"/>
        <v>2036</v>
      </c>
      <c r="W2" s="31">
        <f t="shared" si="1"/>
        <v>2037</v>
      </c>
      <c r="X2" s="31">
        <f t="shared" si="1"/>
        <v>2038</v>
      </c>
      <c r="Y2" s="31">
        <f t="shared" si="1"/>
        <v>2039</v>
      </c>
      <c r="Z2" s="31">
        <f t="shared" si="1"/>
        <v>2040</v>
      </c>
      <c r="AA2" s="31">
        <f t="shared" si="1"/>
        <v>2041</v>
      </c>
      <c r="AB2" s="31">
        <f t="shared" si="1"/>
        <v>2042</v>
      </c>
      <c r="AC2" s="31">
        <f t="shared" si="1"/>
        <v>2043</v>
      </c>
      <c r="AD2" s="31">
        <f t="shared" si="1"/>
        <v>2044</v>
      </c>
      <c r="AE2" s="31">
        <f t="shared" si="1"/>
        <v>2045</v>
      </c>
      <c r="AF2" s="31">
        <f t="shared" si="1"/>
        <v>2046</v>
      </c>
      <c r="AG2" s="31">
        <f t="shared" si="1"/>
        <v>2047</v>
      </c>
      <c r="AH2" s="31">
        <f t="shared" si="1"/>
        <v>2048</v>
      </c>
    </row>
    <row r="3" spans="1:34" x14ac:dyDescent="0.3">
      <c r="A3" s="1"/>
      <c r="B3" s="1"/>
      <c r="C3" s="31" t="s">
        <v>138</v>
      </c>
      <c r="D3" s="31"/>
      <c r="E3" s="31"/>
      <c r="F3" s="31"/>
      <c r="G3" s="31" t="s">
        <v>139</v>
      </c>
    </row>
    <row r="4" spans="1:34" s="30" customFormat="1" x14ac:dyDescent="0.3">
      <c r="A4" s="31"/>
      <c r="B4" s="31"/>
      <c r="C4" s="31"/>
      <c r="D4" s="31"/>
      <c r="E4" s="31"/>
      <c r="F4" s="31"/>
      <c r="G4" s="31"/>
    </row>
    <row r="5" spans="1:34" s="30" customFormat="1" x14ac:dyDescent="0.3">
      <c r="A5" s="31"/>
      <c r="B5" s="31"/>
      <c r="C5" s="31" t="s">
        <v>323</v>
      </c>
      <c r="D5" s="31"/>
      <c r="E5" s="31"/>
      <c r="F5" s="31"/>
      <c r="G5" s="31"/>
    </row>
    <row r="6" spans="1:34" x14ac:dyDescent="0.3">
      <c r="A6" s="1"/>
      <c r="B6" s="1"/>
      <c r="C6" s="1" t="s">
        <v>145</v>
      </c>
      <c r="I6" s="31" t="s">
        <v>5</v>
      </c>
    </row>
    <row r="7" spans="1:34" s="30" customFormat="1" x14ac:dyDescent="0.3">
      <c r="A7" s="31"/>
      <c r="B7" s="31"/>
      <c r="C7" s="31"/>
      <c r="D7" s="30" t="s">
        <v>146</v>
      </c>
      <c r="E7" s="7" t="s">
        <v>6</v>
      </c>
      <c r="F7" s="30" t="s">
        <v>155</v>
      </c>
      <c r="G7" s="7">
        <v>273170</v>
      </c>
      <c r="I7" s="30" t="s">
        <v>166</v>
      </c>
    </row>
    <row r="8" spans="1:34" s="30" customFormat="1" x14ac:dyDescent="0.3">
      <c r="A8" s="31"/>
      <c r="B8" s="31"/>
      <c r="C8" s="31"/>
      <c r="D8" s="30" t="s">
        <v>147</v>
      </c>
      <c r="E8" s="7" t="s">
        <v>6</v>
      </c>
      <c r="F8" s="30" t="s">
        <v>155</v>
      </c>
      <c r="G8" s="7">
        <v>343517</v>
      </c>
      <c r="I8" s="30" t="s">
        <v>166</v>
      </c>
    </row>
    <row r="9" spans="1:34" s="30" customFormat="1" x14ac:dyDescent="0.3">
      <c r="A9" s="31"/>
      <c r="B9" s="31"/>
      <c r="C9" s="31"/>
      <c r="D9" s="30" t="s">
        <v>148</v>
      </c>
      <c r="E9" s="7" t="s">
        <v>6</v>
      </c>
      <c r="F9" s="30" t="s">
        <v>155</v>
      </c>
      <c r="G9" s="7">
        <v>395867</v>
      </c>
      <c r="I9" s="30" t="s">
        <v>166</v>
      </c>
    </row>
    <row r="10" spans="1:34" s="30" customFormat="1" x14ac:dyDescent="0.3">
      <c r="A10" s="31"/>
      <c r="B10" s="31"/>
      <c r="C10" s="31"/>
      <c r="D10" s="31" t="s">
        <v>152</v>
      </c>
      <c r="E10" s="57" t="s">
        <v>6</v>
      </c>
      <c r="G10" s="57">
        <f>AVERAGE(G7,G9)</f>
        <v>334518.5</v>
      </c>
      <c r="I10" s="30" t="s">
        <v>121</v>
      </c>
    </row>
    <row r="11" spans="1:34" s="30" customFormat="1" x14ac:dyDescent="0.3">
      <c r="A11" s="31"/>
      <c r="B11" s="31"/>
      <c r="C11" s="31"/>
      <c r="D11" s="30" t="s">
        <v>149</v>
      </c>
      <c r="E11" s="7" t="s">
        <v>6</v>
      </c>
      <c r="F11" s="30" t="s">
        <v>155</v>
      </c>
      <c r="G11" s="7">
        <v>158408</v>
      </c>
      <c r="I11" s="30" t="s">
        <v>167</v>
      </c>
    </row>
    <row r="12" spans="1:34" s="30" customFormat="1" x14ac:dyDescent="0.3">
      <c r="A12" s="31"/>
      <c r="B12" s="31"/>
      <c r="C12" s="31"/>
      <c r="D12" s="30" t="s">
        <v>150</v>
      </c>
      <c r="E12" s="7" t="s">
        <v>6</v>
      </c>
      <c r="F12" s="30" t="s">
        <v>155</v>
      </c>
      <c r="G12" s="7">
        <v>127131</v>
      </c>
      <c r="I12" s="30" t="s">
        <v>167</v>
      </c>
    </row>
    <row r="13" spans="1:34" s="30" customFormat="1" x14ac:dyDescent="0.3">
      <c r="A13" s="31"/>
      <c r="B13" s="31"/>
      <c r="C13" s="31"/>
      <c r="D13" s="30" t="s">
        <v>151</v>
      </c>
      <c r="E13" s="7" t="s">
        <v>6</v>
      </c>
      <c r="F13" s="30" t="s">
        <v>155</v>
      </c>
      <c r="G13" s="7">
        <v>191332</v>
      </c>
      <c r="I13" s="30" t="s">
        <v>167</v>
      </c>
    </row>
    <row r="14" spans="1:34" s="30" customFormat="1" x14ac:dyDescent="0.3">
      <c r="A14" s="31"/>
      <c r="B14" s="31"/>
      <c r="C14" s="31"/>
      <c r="D14" s="31" t="s">
        <v>153</v>
      </c>
      <c r="E14" s="57" t="s">
        <v>6</v>
      </c>
      <c r="G14" s="57">
        <f>AVERAGE(G11,G13)</f>
        <v>174870</v>
      </c>
    </row>
    <row r="15" spans="1:34" s="30" customFormat="1" x14ac:dyDescent="0.3">
      <c r="A15" s="31"/>
      <c r="B15" s="31"/>
      <c r="C15" s="31"/>
      <c r="D15" s="31" t="s">
        <v>154</v>
      </c>
      <c r="E15" s="57" t="s">
        <v>6</v>
      </c>
      <c r="G15" s="57">
        <f>SUM(G14,G10)</f>
        <v>509388.5</v>
      </c>
    </row>
    <row r="16" spans="1:34" s="30" customFormat="1" x14ac:dyDescent="0.3">
      <c r="A16" s="31"/>
      <c r="B16" s="31"/>
      <c r="C16" s="31"/>
    </row>
    <row r="17" spans="1:9" s="30" customFormat="1" x14ac:dyDescent="0.3">
      <c r="A17" s="31"/>
      <c r="B17" s="31"/>
      <c r="C17" s="31" t="s">
        <v>161</v>
      </c>
      <c r="E17" s="30" t="s">
        <v>163</v>
      </c>
    </row>
    <row r="18" spans="1:9" s="30" customFormat="1" x14ac:dyDescent="0.3">
      <c r="A18" s="31"/>
      <c r="B18" s="31"/>
      <c r="C18" s="31"/>
      <c r="D18" s="30" t="s">
        <v>162</v>
      </c>
      <c r="E18" s="30">
        <v>1993</v>
      </c>
      <c r="G18" s="30" t="s">
        <v>167</v>
      </c>
      <c r="H18" s="30">
        <v>1993</v>
      </c>
      <c r="I18" s="30">
        <v>1</v>
      </c>
    </row>
    <row r="19" spans="1:9" s="30" customFormat="1" x14ac:dyDescent="0.3">
      <c r="A19" s="31"/>
      <c r="B19" s="31"/>
      <c r="C19" s="31"/>
      <c r="D19" s="30" t="s">
        <v>162</v>
      </c>
      <c r="E19" s="30">
        <v>1995</v>
      </c>
      <c r="G19" s="30" t="s">
        <v>167</v>
      </c>
      <c r="H19" s="30">
        <v>1995</v>
      </c>
      <c r="I19" s="30">
        <v>2</v>
      </c>
    </row>
    <row r="20" spans="1:9" s="30" customFormat="1" x14ac:dyDescent="0.3">
      <c r="A20" s="31"/>
      <c r="B20" s="31"/>
      <c r="C20" s="31"/>
      <c r="D20" s="30" t="s">
        <v>162</v>
      </c>
      <c r="E20" s="30">
        <v>1995</v>
      </c>
      <c r="G20" s="30" t="s">
        <v>167</v>
      </c>
      <c r="H20" s="30">
        <v>1997</v>
      </c>
      <c r="I20" s="30">
        <v>3</v>
      </c>
    </row>
    <row r="21" spans="1:9" s="30" customFormat="1" x14ac:dyDescent="0.3">
      <c r="A21" s="31"/>
      <c r="B21" s="31"/>
      <c r="C21" s="31"/>
      <c r="D21" s="30" t="s">
        <v>162</v>
      </c>
      <c r="E21" s="30">
        <v>1997</v>
      </c>
      <c r="G21" s="30" t="s">
        <v>167</v>
      </c>
      <c r="H21" s="30">
        <v>1999</v>
      </c>
      <c r="I21" s="30">
        <v>1</v>
      </c>
    </row>
    <row r="22" spans="1:9" s="30" customFormat="1" x14ac:dyDescent="0.3">
      <c r="A22" s="31"/>
      <c r="B22" s="31"/>
      <c r="C22" s="31"/>
      <c r="D22" s="30" t="s">
        <v>162</v>
      </c>
      <c r="E22" s="30">
        <v>1997</v>
      </c>
      <c r="G22" s="30" t="s">
        <v>167</v>
      </c>
      <c r="H22" s="30">
        <v>2000</v>
      </c>
      <c r="I22" s="30">
        <v>7</v>
      </c>
    </row>
    <row r="23" spans="1:9" s="30" customFormat="1" x14ac:dyDescent="0.3">
      <c r="A23" s="31"/>
      <c r="B23" s="31"/>
      <c r="C23" s="31"/>
      <c r="D23" s="30" t="s">
        <v>162</v>
      </c>
      <c r="E23" s="30">
        <v>1997</v>
      </c>
      <c r="G23" s="30" t="s">
        <v>167</v>
      </c>
      <c r="H23" s="30">
        <v>2001</v>
      </c>
      <c r="I23" s="30">
        <v>2</v>
      </c>
    </row>
    <row r="24" spans="1:9" s="30" customFormat="1" x14ac:dyDescent="0.3">
      <c r="A24" s="31"/>
      <c r="B24" s="31"/>
      <c r="C24" s="31"/>
      <c r="D24" s="30" t="s">
        <v>165</v>
      </c>
      <c r="E24" s="30">
        <v>1999</v>
      </c>
      <c r="G24" s="30" t="s">
        <v>167</v>
      </c>
      <c r="H24" s="30">
        <v>2003</v>
      </c>
      <c r="I24" s="30">
        <v>1</v>
      </c>
    </row>
    <row r="25" spans="1:9" s="30" customFormat="1" x14ac:dyDescent="0.3">
      <c r="A25" s="31"/>
      <c r="B25" s="31"/>
      <c r="C25" s="31"/>
      <c r="D25" s="30" t="s">
        <v>164</v>
      </c>
      <c r="E25" s="30">
        <v>2000</v>
      </c>
      <c r="G25" s="30" t="s">
        <v>167</v>
      </c>
      <c r="H25" s="30">
        <v>2004</v>
      </c>
      <c r="I25" s="30">
        <v>2</v>
      </c>
    </row>
    <row r="26" spans="1:9" s="30" customFormat="1" x14ac:dyDescent="0.3">
      <c r="A26" s="31"/>
      <c r="B26" s="31"/>
      <c r="C26" s="31"/>
      <c r="D26" s="30" t="s">
        <v>165</v>
      </c>
      <c r="E26" s="30">
        <v>2000</v>
      </c>
      <c r="G26" s="30" t="s">
        <v>167</v>
      </c>
    </row>
    <row r="27" spans="1:9" s="30" customFormat="1" x14ac:dyDescent="0.3">
      <c r="A27" s="31"/>
      <c r="B27" s="31"/>
      <c r="C27" s="31"/>
      <c r="D27" s="30" t="s">
        <v>165</v>
      </c>
      <c r="E27" s="30">
        <v>2000</v>
      </c>
      <c r="G27" s="30" t="s">
        <v>167</v>
      </c>
    </row>
    <row r="28" spans="1:9" s="30" customFormat="1" x14ac:dyDescent="0.3">
      <c r="A28" s="31"/>
      <c r="B28" s="31"/>
      <c r="C28" s="31"/>
      <c r="D28" s="30" t="s">
        <v>165</v>
      </c>
      <c r="E28" s="58">
        <v>2000</v>
      </c>
      <c r="G28" s="30" t="s">
        <v>167</v>
      </c>
    </row>
    <row r="29" spans="1:9" s="30" customFormat="1" x14ac:dyDescent="0.3">
      <c r="A29" s="31"/>
      <c r="B29" s="31"/>
      <c r="C29" s="31"/>
      <c r="D29" s="30" t="s">
        <v>165</v>
      </c>
      <c r="E29" s="30">
        <v>2000</v>
      </c>
      <c r="G29" s="30" t="s">
        <v>167</v>
      </c>
    </row>
    <row r="30" spans="1:9" s="30" customFormat="1" x14ac:dyDescent="0.3">
      <c r="A30" s="31"/>
      <c r="B30" s="31"/>
      <c r="C30" s="31"/>
      <c r="D30" s="30" t="s">
        <v>165</v>
      </c>
      <c r="E30" s="30">
        <v>2000</v>
      </c>
      <c r="G30" s="30" t="s">
        <v>167</v>
      </c>
    </row>
    <row r="31" spans="1:9" s="30" customFormat="1" x14ac:dyDescent="0.3">
      <c r="A31" s="31"/>
      <c r="B31" s="31"/>
      <c r="C31" s="31"/>
      <c r="D31" s="30" t="s">
        <v>165</v>
      </c>
      <c r="E31" s="30">
        <v>2000</v>
      </c>
      <c r="G31" s="30" t="s">
        <v>167</v>
      </c>
    </row>
    <row r="32" spans="1:9" s="30" customFormat="1" x14ac:dyDescent="0.3">
      <c r="A32" s="31"/>
      <c r="B32" s="31"/>
      <c r="C32" s="31"/>
      <c r="D32" s="30" t="s">
        <v>165</v>
      </c>
      <c r="E32" s="30">
        <v>2001</v>
      </c>
      <c r="G32" s="30" t="s">
        <v>167</v>
      </c>
    </row>
    <row r="33" spans="1:9" s="30" customFormat="1" x14ac:dyDescent="0.3">
      <c r="A33" s="31"/>
      <c r="B33" s="31"/>
      <c r="C33" s="31"/>
      <c r="D33" s="30" t="s">
        <v>165</v>
      </c>
      <c r="E33" s="30">
        <v>2001</v>
      </c>
      <c r="G33" s="30" t="s">
        <v>167</v>
      </c>
    </row>
    <row r="34" spans="1:9" s="30" customFormat="1" x14ac:dyDescent="0.3">
      <c r="A34" s="31"/>
      <c r="B34" s="31"/>
      <c r="C34" s="31"/>
      <c r="D34" s="30" t="s">
        <v>164</v>
      </c>
      <c r="E34" s="30">
        <v>2003</v>
      </c>
      <c r="G34" s="30" t="s">
        <v>167</v>
      </c>
    </row>
    <row r="35" spans="1:9" s="30" customFormat="1" x14ac:dyDescent="0.3">
      <c r="A35" s="31"/>
      <c r="B35" s="31"/>
      <c r="C35" s="31"/>
      <c r="D35" s="30" t="s">
        <v>165</v>
      </c>
      <c r="E35" s="30">
        <v>2004</v>
      </c>
      <c r="G35" s="30" t="s">
        <v>167</v>
      </c>
    </row>
    <row r="36" spans="1:9" s="30" customFormat="1" x14ac:dyDescent="0.3">
      <c r="A36" s="31"/>
      <c r="B36" s="31"/>
      <c r="C36" s="31"/>
      <c r="D36" s="30" t="s">
        <v>165</v>
      </c>
      <c r="E36" s="30">
        <v>2004</v>
      </c>
      <c r="G36" s="30" t="s">
        <v>167</v>
      </c>
    </row>
    <row r="37" spans="1:9" s="30" customFormat="1" x14ac:dyDescent="0.3">
      <c r="A37" s="31"/>
      <c r="B37" s="31"/>
      <c r="C37" s="31"/>
    </row>
    <row r="38" spans="1:9" s="30" customFormat="1" x14ac:dyDescent="0.3">
      <c r="A38" s="31"/>
      <c r="B38" s="31"/>
      <c r="C38" s="31" t="s">
        <v>168</v>
      </c>
      <c r="I38" s="31" t="s">
        <v>5</v>
      </c>
    </row>
    <row r="39" spans="1:9" s="30" customFormat="1" x14ac:dyDescent="0.3">
      <c r="A39" s="31"/>
      <c r="B39" s="31"/>
      <c r="C39" s="31"/>
      <c r="D39" s="30" t="s">
        <v>169</v>
      </c>
      <c r="E39" s="30" t="s">
        <v>178</v>
      </c>
      <c r="G39" s="30">
        <f>6*'7_PARAMS'!D10</f>
        <v>15</v>
      </c>
      <c r="I39" s="30" t="s">
        <v>180</v>
      </c>
    </row>
    <row r="40" spans="1:9" s="30" customFormat="1" x14ac:dyDescent="0.3">
      <c r="A40" s="31"/>
      <c r="B40" s="31"/>
      <c r="C40" s="31"/>
      <c r="D40" s="30" t="s">
        <v>172</v>
      </c>
      <c r="E40" s="30" t="s">
        <v>178</v>
      </c>
      <c r="G40" s="30">
        <v>6</v>
      </c>
      <c r="I40" s="30" t="s">
        <v>180</v>
      </c>
    </row>
    <row r="41" spans="1:9" s="30" customFormat="1" x14ac:dyDescent="0.3">
      <c r="A41" s="31"/>
      <c r="B41" s="31"/>
      <c r="C41" s="31"/>
      <c r="D41" s="30" t="s">
        <v>173</v>
      </c>
      <c r="E41" s="30" t="s">
        <v>178</v>
      </c>
      <c r="G41" s="30">
        <v>1</v>
      </c>
      <c r="I41" s="30" t="s">
        <v>166</v>
      </c>
    </row>
    <row r="42" spans="1:9" s="30" customFormat="1" x14ac:dyDescent="0.3">
      <c r="A42" s="31"/>
      <c r="B42" s="31"/>
      <c r="C42" s="31"/>
    </row>
    <row r="43" spans="1:9" s="30" customFormat="1" x14ac:dyDescent="0.3">
      <c r="A43" s="31"/>
      <c r="B43" s="31"/>
      <c r="C43" s="31" t="s">
        <v>176</v>
      </c>
    </row>
    <row r="44" spans="1:9" s="30" customFormat="1" x14ac:dyDescent="0.3">
      <c r="A44" s="31"/>
      <c r="B44" s="31"/>
      <c r="C44" s="31"/>
      <c r="D44" s="30" t="s">
        <v>177</v>
      </c>
      <c r="E44" s="30" t="s">
        <v>179</v>
      </c>
      <c r="G44" s="12">
        <f>'2_MODEL_Costs'!F4/6</f>
        <v>780000</v>
      </c>
      <c r="I44" s="30" t="s">
        <v>181</v>
      </c>
    </row>
    <row r="45" spans="1:9" s="30" customFormat="1" x14ac:dyDescent="0.3">
      <c r="A45" s="31"/>
      <c r="B45" s="31"/>
      <c r="C45" s="31"/>
      <c r="D45" s="30" t="s">
        <v>189</v>
      </c>
      <c r="E45" s="30" t="s">
        <v>179</v>
      </c>
      <c r="G45" s="12">
        <f>'2_MODEL_Costs'!D10/10*0.7</f>
        <v>45500</v>
      </c>
      <c r="I45" s="30" t="s">
        <v>181</v>
      </c>
    </row>
    <row r="46" spans="1:9" s="30" customFormat="1" x14ac:dyDescent="0.3">
      <c r="A46" s="31"/>
      <c r="B46" s="31"/>
      <c r="C46" s="31"/>
      <c r="D46" s="30" t="s">
        <v>190</v>
      </c>
      <c r="E46" s="30" t="s">
        <v>179</v>
      </c>
      <c r="G46" s="12">
        <f>'2_MODEL_Costs'!D5/5*0.7</f>
        <v>215600</v>
      </c>
      <c r="I46" s="30" t="s">
        <v>181</v>
      </c>
    </row>
    <row r="47" spans="1:9" s="30" customFormat="1" x14ac:dyDescent="0.3">
      <c r="A47" s="31"/>
      <c r="B47" s="31"/>
      <c r="C47" s="31"/>
      <c r="D47" s="30" t="s">
        <v>191</v>
      </c>
      <c r="E47" s="30" t="s">
        <v>179</v>
      </c>
      <c r="G47" s="12">
        <f>'2_MODEL_Costs'!D11/10*0.7</f>
        <v>35000</v>
      </c>
      <c r="I47" s="30" t="s">
        <v>181</v>
      </c>
    </row>
    <row r="48" spans="1:9" s="30" customFormat="1" x14ac:dyDescent="0.3">
      <c r="A48" s="31"/>
      <c r="B48" s="31"/>
      <c r="C48" s="31"/>
      <c r="D48" s="30" t="s">
        <v>196</v>
      </c>
      <c r="E48" s="30" t="s">
        <v>179</v>
      </c>
      <c r="G48" s="12">
        <f>'2_MODEL_Costs'!I9/10*0.7</f>
        <v>28000</v>
      </c>
      <c r="I48" s="30" t="s">
        <v>181</v>
      </c>
    </row>
    <row r="49" spans="1:34" s="30" customFormat="1" x14ac:dyDescent="0.3">
      <c r="A49" s="31"/>
      <c r="B49" s="31"/>
      <c r="C49" s="31"/>
      <c r="D49" s="30" t="s">
        <v>199</v>
      </c>
      <c r="E49" s="30" t="s">
        <v>179</v>
      </c>
      <c r="F49" s="30" t="s">
        <v>200</v>
      </c>
      <c r="G49" s="12">
        <f>'2_MODEL_Costs'!D8/160</f>
        <v>43750</v>
      </c>
      <c r="I49" s="30" t="s">
        <v>181</v>
      </c>
    </row>
    <row r="50" spans="1:34" s="30" customFormat="1" x14ac:dyDescent="0.3">
      <c r="A50" s="31"/>
      <c r="B50" s="31"/>
      <c r="C50" s="31"/>
    </row>
    <row r="51" spans="1:34" s="30" customFormat="1" x14ac:dyDescent="0.3">
      <c r="A51" s="31"/>
      <c r="B51" s="31"/>
      <c r="C51" s="31" t="s">
        <v>205</v>
      </c>
    </row>
    <row r="52" spans="1:34" s="30" customFormat="1" x14ac:dyDescent="0.3">
      <c r="A52" s="31"/>
      <c r="B52" s="31"/>
      <c r="C52" s="31"/>
      <c r="D52" s="30" t="s">
        <v>208</v>
      </c>
      <c r="E52" s="30" t="s">
        <v>202</v>
      </c>
      <c r="G52" s="12">
        <f>AVERAGE(188380,204889)*1.3</f>
        <v>255624.85</v>
      </c>
      <c r="I52" s="30" t="s">
        <v>209</v>
      </c>
    </row>
    <row r="53" spans="1:34" s="30" customFormat="1" x14ac:dyDescent="0.3">
      <c r="A53" s="31"/>
      <c r="B53" s="31"/>
      <c r="C53" s="31"/>
      <c r="D53" s="30" t="s">
        <v>203</v>
      </c>
      <c r="E53" s="30" t="s">
        <v>202</v>
      </c>
      <c r="G53" s="12">
        <f>59100*1.3</f>
        <v>76830</v>
      </c>
      <c r="I53" s="30" t="s">
        <v>210</v>
      </c>
    </row>
    <row r="54" spans="1:34" s="30" customFormat="1" x14ac:dyDescent="0.3">
      <c r="A54" s="31"/>
      <c r="B54" s="31"/>
      <c r="C54" s="31"/>
      <c r="D54" s="30" t="s">
        <v>204</v>
      </c>
      <c r="E54" s="30" t="s">
        <v>202</v>
      </c>
      <c r="G54" s="12">
        <f>AVERAGE(29.53, 36.31)*2080*1.3</f>
        <v>89015.680000000008</v>
      </c>
      <c r="I54" s="30" t="s">
        <v>207</v>
      </c>
    </row>
    <row r="55" spans="1:34" s="30" customFormat="1" x14ac:dyDescent="0.3">
      <c r="A55" s="31"/>
      <c r="B55" s="31"/>
      <c r="C55" s="31"/>
    </row>
    <row r="56" spans="1:34" s="30" customFormat="1" x14ac:dyDescent="0.3">
      <c r="A56" s="31"/>
      <c r="B56" s="31"/>
      <c r="C56" s="31" t="s">
        <v>287</v>
      </c>
    </row>
    <row r="57" spans="1:34" s="30" customFormat="1" x14ac:dyDescent="0.3">
      <c r="A57" s="31"/>
      <c r="B57" s="99"/>
      <c r="C57" s="99"/>
      <c r="D57" s="10" t="s">
        <v>214</v>
      </c>
      <c r="I57" s="30">
        <f>ROUND(20-2.5*I58,0)+2</f>
        <v>20</v>
      </c>
      <c r="J57" s="30">
        <f>ROUND(20-2.5*J58,0)+2</f>
        <v>15</v>
      </c>
      <c r="K57" s="30">
        <f>ROUND(20-2.5*K58,0)+2</f>
        <v>7</v>
      </c>
      <c r="L57" s="30">
        <f t="shared" ref="L57:AH57" si="2">K57</f>
        <v>7</v>
      </c>
      <c r="M57" s="30">
        <f t="shared" si="2"/>
        <v>7</v>
      </c>
      <c r="N57" s="30">
        <f t="shared" si="2"/>
        <v>7</v>
      </c>
      <c r="O57" s="30">
        <f t="shared" si="2"/>
        <v>7</v>
      </c>
      <c r="P57" s="30">
        <f t="shared" si="2"/>
        <v>7</v>
      </c>
      <c r="Q57" s="30">
        <f t="shared" si="2"/>
        <v>7</v>
      </c>
      <c r="R57" s="30">
        <f t="shared" si="2"/>
        <v>7</v>
      </c>
      <c r="S57" s="30">
        <f t="shared" si="2"/>
        <v>7</v>
      </c>
      <c r="T57" s="30">
        <f t="shared" si="2"/>
        <v>7</v>
      </c>
      <c r="U57" s="30">
        <f t="shared" si="2"/>
        <v>7</v>
      </c>
      <c r="V57" s="30">
        <f t="shared" si="2"/>
        <v>7</v>
      </c>
      <c r="W57" s="30">
        <f t="shared" si="2"/>
        <v>7</v>
      </c>
      <c r="X57" s="30">
        <f t="shared" si="2"/>
        <v>7</v>
      </c>
      <c r="Y57" s="30">
        <f t="shared" si="2"/>
        <v>7</v>
      </c>
      <c r="Z57" s="30">
        <f t="shared" si="2"/>
        <v>7</v>
      </c>
      <c r="AA57" s="30">
        <f t="shared" si="2"/>
        <v>7</v>
      </c>
      <c r="AB57" s="30">
        <f t="shared" si="2"/>
        <v>7</v>
      </c>
      <c r="AC57" s="30">
        <f t="shared" si="2"/>
        <v>7</v>
      </c>
      <c r="AD57" s="30">
        <f t="shared" si="2"/>
        <v>7</v>
      </c>
      <c r="AE57" s="30">
        <f t="shared" si="2"/>
        <v>7</v>
      </c>
      <c r="AF57" s="30">
        <f t="shared" si="2"/>
        <v>7</v>
      </c>
      <c r="AG57" s="30">
        <f t="shared" si="2"/>
        <v>7</v>
      </c>
      <c r="AH57" s="30">
        <f t="shared" si="2"/>
        <v>7</v>
      </c>
    </row>
    <row r="58" spans="1:34" s="30" customFormat="1" x14ac:dyDescent="0.3">
      <c r="A58" s="31"/>
      <c r="B58" s="99"/>
      <c r="C58" s="99"/>
      <c r="D58" s="10" t="s">
        <v>219</v>
      </c>
      <c r="I58" s="30">
        <v>1</v>
      </c>
      <c r="J58" s="30">
        <v>3</v>
      </c>
      <c r="K58" s="30">
        <v>6</v>
      </c>
      <c r="L58" s="30">
        <f t="shared" ref="L58:AH58" si="3">K58</f>
        <v>6</v>
      </c>
      <c r="M58" s="30">
        <f t="shared" si="3"/>
        <v>6</v>
      </c>
      <c r="N58" s="30">
        <f t="shared" si="3"/>
        <v>6</v>
      </c>
      <c r="O58" s="30">
        <f t="shared" si="3"/>
        <v>6</v>
      </c>
      <c r="P58" s="30">
        <f t="shared" si="3"/>
        <v>6</v>
      </c>
      <c r="Q58" s="30">
        <f t="shared" si="3"/>
        <v>6</v>
      </c>
      <c r="R58" s="30">
        <f t="shared" si="3"/>
        <v>6</v>
      </c>
      <c r="S58" s="30">
        <f t="shared" si="3"/>
        <v>6</v>
      </c>
      <c r="T58" s="30">
        <f t="shared" si="3"/>
        <v>6</v>
      </c>
      <c r="U58" s="30">
        <f t="shared" si="3"/>
        <v>6</v>
      </c>
      <c r="V58" s="30">
        <f t="shared" si="3"/>
        <v>6</v>
      </c>
      <c r="W58" s="30">
        <f t="shared" si="3"/>
        <v>6</v>
      </c>
      <c r="X58" s="30">
        <f t="shared" si="3"/>
        <v>6</v>
      </c>
      <c r="Y58" s="30">
        <f t="shared" si="3"/>
        <v>6</v>
      </c>
      <c r="Z58" s="30">
        <f t="shared" si="3"/>
        <v>6</v>
      </c>
      <c r="AA58" s="30">
        <f t="shared" si="3"/>
        <v>6</v>
      </c>
      <c r="AB58" s="30">
        <f t="shared" si="3"/>
        <v>6</v>
      </c>
      <c r="AC58" s="30">
        <f t="shared" si="3"/>
        <v>6</v>
      </c>
      <c r="AD58" s="30">
        <f t="shared" si="3"/>
        <v>6</v>
      </c>
      <c r="AE58" s="30">
        <f t="shared" si="3"/>
        <v>6</v>
      </c>
      <c r="AF58" s="30">
        <f t="shared" si="3"/>
        <v>6</v>
      </c>
      <c r="AG58" s="30">
        <f t="shared" si="3"/>
        <v>6</v>
      </c>
      <c r="AH58" s="30">
        <f t="shared" si="3"/>
        <v>6</v>
      </c>
    </row>
    <row r="59" spans="1:34" s="30" customFormat="1" x14ac:dyDescent="0.3">
      <c r="A59" s="31"/>
      <c r="B59" s="99"/>
      <c r="C59" s="99"/>
      <c r="D59" s="10" t="s">
        <v>216</v>
      </c>
      <c r="I59" s="30">
        <v>10</v>
      </c>
      <c r="J59" s="30">
        <f t="shared" ref="J59:K62" si="4">I59</f>
        <v>10</v>
      </c>
      <c r="K59" s="30">
        <f t="shared" si="4"/>
        <v>10</v>
      </c>
      <c r="L59" s="30">
        <f t="shared" ref="L59:AH59" si="5">K59</f>
        <v>10</v>
      </c>
      <c r="M59" s="30">
        <f t="shared" si="5"/>
        <v>10</v>
      </c>
      <c r="N59" s="30">
        <f t="shared" si="5"/>
        <v>10</v>
      </c>
      <c r="O59" s="30">
        <f t="shared" si="5"/>
        <v>10</v>
      </c>
      <c r="P59" s="30">
        <f t="shared" si="5"/>
        <v>10</v>
      </c>
      <c r="Q59" s="30">
        <f t="shared" si="5"/>
        <v>10</v>
      </c>
      <c r="R59" s="30">
        <f t="shared" si="5"/>
        <v>10</v>
      </c>
      <c r="S59" s="30">
        <f t="shared" si="5"/>
        <v>10</v>
      </c>
      <c r="T59" s="30">
        <f t="shared" si="5"/>
        <v>10</v>
      </c>
      <c r="U59" s="30">
        <f t="shared" si="5"/>
        <v>10</v>
      </c>
      <c r="V59" s="30">
        <f t="shared" si="5"/>
        <v>10</v>
      </c>
      <c r="W59" s="30">
        <f t="shared" si="5"/>
        <v>10</v>
      </c>
      <c r="X59" s="30">
        <f t="shared" si="5"/>
        <v>10</v>
      </c>
      <c r="Y59" s="30">
        <f t="shared" si="5"/>
        <v>10</v>
      </c>
      <c r="Z59" s="30">
        <f t="shared" si="5"/>
        <v>10</v>
      </c>
      <c r="AA59" s="30">
        <f t="shared" si="5"/>
        <v>10</v>
      </c>
      <c r="AB59" s="30">
        <f t="shared" si="5"/>
        <v>10</v>
      </c>
      <c r="AC59" s="30">
        <f t="shared" si="5"/>
        <v>10</v>
      </c>
      <c r="AD59" s="30">
        <f t="shared" si="5"/>
        <v>10</v>
      </c>
      <c r="AE59" s="30">
        <f t="shared" si="5"/>
        <v>10</v>
      </c>
      <c r="AF59" s="30">
        <f t="shared" si="5"/>
        <v>10</v>
      </c>
      <c r="AG59" s="30">
        <f t="shared" si="5"/>
        <v>10</v>
      </c>
      <c r="AH59" s="30">
        <f t="shared" si="5"/>
        <v>10</v>
      </c>
    </row>
    <row r="60" spans="1:34" s="30" customFormat="1" x14ac:dyDescent="0.3">
      <c r="A60" s="31"/>
      <c r="B60" s="99"/>
      <c r="C60" s="99"/>
      <c r="D60" s="10" t="s">
        <v>215</v>
      </c>
      <c r="I60" s="30">
        <v>5</v>
      </c>
      <c r="J60" s="30">
        <f t="shared" si="4"/>
        <v>5</v>
      </c>
      <c r="K60" s="30">
        <f t="shared" si="4"/>
        <v>5</v>
      </c>
      <c r="L60" s="30">
        <f t="shared" ref="L60:AH60" si="6">K60</f>
        <v>5</v>
      </c>
      <c r="M60" s="30">
        <f t="shared" si="6"/>
        <v>5</v>
      </c>
      <c r="N60" s="30">
        <f t="shared" si="6"/>
        <v>5</v>
      </c>
      <c r="O60" s="30">
        <f t="shared" si="6"/>
        <v>5</v>
      </c>
      <c r="P60" s="30">
        <f t="shared" si="6"/>
        <v>5</v>
      </c>
      <c r="Q60" s="30">
        <f t="shared" si="6"/>
        <v>5</v>
      </c>
      <c r="R60" s="30">
        <f t="shared" si="6"/>
        <v>5</v>
      </c>
      <c r="S60" s="30">
        <f t="shared" si="6"/>
        <v>5</v>
      </c>
      <c r="T60" s="30">
        <f t="shared" si="6"/>
        <v>5</v>
      </c>
      <c r="U60" s="30">
        <f t="shared" si="6"/>
        <v>5</v>
      </c>
      <c r="V60" s="30">
        <f t="shared" si="6"/>
        <v>5</v>
      </c>
      <c r="W60" s="30">
        <f t="shared" si="6"/>
        <v>5</v>
      </c>
      <c r="X60" s="30">
        <f t="shared" si="6"/>
        <v>5</v>
      </c>
      <c r="Y60" s="30">
        <f t="shared" si="6"/>
        <v>5</v>
      </c>
      <c r="Z60" s="30">
        <f t="shared" si="6"/>
        <v>5</v>
      </c>
      <c r="AA60" s="30">
        <f t="shared" si="6"/>
        <v>5</v>
      </c>
      <c r="AB60" s="30">
        <f t="shared" si="6"/>
        <v>5</v>
      </c>
      <c r="AC60" s="30">
        <f t="shared" si="6"/>
        <v>5</v>
      </c>
      <c r="AD60" s="30">
        <f t="shared" si="6"/>
        <v>5</v>
      </c>
      <c r="AE60" s="30">
        <f t="shared" si="6"/>
        <v>5</v>
      </c>
      <c r="AF60" s="30">
        <f t="shared" si="6"/>
        <v>5</v>
      </c>
      <c r="AG60" s="30">
        <f t="shared" si="6"/>
        <v>5</v>
      </c>
      <c r="AH60" s="30">
        <f t="shared" si="6"/>
        <v>5</v>
      </c>
    </row>
    <row r="61" spans="1:34" s="30" customFormat="1" x14ac:dyDescent="0.3">
      <c r="A61" s="31"/>
      <c r="B61" s="99"/>
      <c r="C61" s="99"/>
      <c r="D61" s="10" t="s">
        <v>217</v>
      </c>
      <c r="I61" s="30">
        <v>10</v>
      </c>
      <c r="J61" s="30">
        <f t="shared" si="4"/>
        <v>10</v>
      </c>
      <c r="K61" s="30">
        <f t="shared" si="4"/>
        <v>10</v>
      </c>
      <c r="L61" s="30">
        <f t="shared" ref="L61:AH61" si="7">K61</f>
        <v>10</v>
      </c>
      <c r="M61" s="30">
        <f t="shared" si="7"/>
        <v>10</v>
      </c>
      <c r="N61" s="30">
        <f t="shared" si="7"/>
        <v>10</v>
      </c>
      <c r="O61" s="30">
        <f t="shared" si="7"/>
        <v>10</v>
      </c>
      <c r="P61" s="30">
        <f t="shared" si="7"/>
        <v>10</v>
      </c>
      <c r="Q61" s="30">
        <f t="shared" si="7"/>
        <v>10</v>
      </c>
      <c r="R61" s="30">
        <f t="shared" si="7"/>
        <v>10</v>
      </c>
      <c r="S61" s="30">
        <f t="shared" si="7"/>
        <v>10</v>
      </c>
      <c r="T61" s="30">
        <f t="shared" si="7"/>
        <v>10</v>
      </c>
      <c r="U61" s="30">
        <f t="shared" si="7"/>
        <v>10</v>
      </c>
      <c r="V61" s="30">
        <f t="shared" si="7"/>
        <v>10</v>
      </c>
      <c r="W61" s="30">
        <f t="shared" si="7"/>
        <v>10</v>
      </c>
      <c r="X61" s="30">
        <f t="shared" si="7"/>
        <v>10</v>
      </c>
      <c r="Y61" s="30">
        <f t="shared" si="7"/>
        <v>10</v>
      </c>
      <c r="Z61" s="30">
        <f t="shared" si="7"/>
        <v>10</v>
      </c>
      <c r="AA61" s="30">
        <f t="shared" si="7"/>
        <v>10</v>
      </c>
      <c r="AB61" s="30">
        <f t="shared" si="7"/>
        <v>10</v>
      </c>
      <c r="AC61" s="30">
        <f t="shared" si="7"/>
        <v>10</v>
      </c>
      <c r="AD61" s="30">
        <f t="shared" si="7"/>
        <v>10</v>
      </c>
      <c r="AE61" s="30">
        <f t="shared" si="7"/>
        <v>10</v>
      </c>
      <c r="AF61" s="30">
        <f t="shared" si="7"/>
        <v>10</v>
      </c>
      <c r="AG61" s="30">
        <f t="shared" si="7"/>
        <v>10</v>
      </c>
      <c r="AH61" s="30">
        <f t="shared" si="7"/>
        <v>10</v>
      </c>
    </row>
    <row r="62" spans="1:34" s="30" customFormat="1" x14ac:dyDescent="0.3">
      <c r="A62" s="31"/>
      <c r="B62" s="99"/>
      <c r="C62" s="99"/>
      <c r="D62" s="10" t="s">
        <v>218</v>
      </c>
      <c r="I62" s="30">
        <v>10</v>
      </c>
      <c r="J62" s="30">
        <f t="shared" si="4"/>
        <v>10</v>
      </c>
      <c r="K62" s="30">
        <f t="shared" si="4"/>
        <v>10</v>
      </c>
      <c r="L62" s="30">
        <f t="shared" ref="L62:AH62" si="8">K62</f>
        <v>10</v>
      </c>
      <c r="M62" s="30">
        <f t="shared" si="8"/>
        <v>10</v>
      </c>
      <c r="N62" s="30">
        <f t="shared" si="8"/>
        <v>10</v>
      </c>
      <c r="O62" s="30">
        <f t="shared" si="8"/>
        <v>10</v>
      </c>
      <c r="P62" s="30">
        <f t="shared" si="8"/>
        <v>10</v>
      </c>
      <c r="Q62" s="30">
        <f t="shared" si="8"/>
        <v>10</v>
      </c>
      <c r="R62" s="30">
        <f t="shared" si="8"/>
        <v>10</v>
      </c>
      <c r="S62" s="30">
        <f t="shared" si="8"/>
        <v>10</v>
      </c>
      <c r="T62" s="30">
        <f t="shared" si="8"/>
        <v>10</v>
      </c>
      <c r="U62" s="30">
        <f t="shared" si="8"/>
        <v>10</v>
      </c>
      <c r="V62" s="30">
        <f t="shared" si="8"/>
        <v>10</v>
      </c>
      <c r="W62" s="30">
        <f t="shared" si="8"/>
        <v>10</v>
      </c>
      <c r="X62" s="30">
        <f t="shared" si="8"/>
        <v>10</v>
      </c>
      <c r="Y62" s="30">
        <f t="shared" si="8"/>
        <v>10</v>
      </c>
      <c r="Z62" s="30">
        <f t="shared" si="8"/>
        <v>10</v>
      </c>
      <c r="AA62" s="30">
        <f t="shared" si="8"/>
        <v>10</v>
      </c>
      <c r="AB62" s="30">
        <f t="shared" si="8"/>
        <v>10</v>
      </c>
      <c r="AC62" s="30">
        <f t="shared" si="8"/>
        <v>10</v>
      </c>
      <c r="AD62" s="30">
        <f t="shared" si="8"/>
        <v>10</v>
      </c>
      <c r="AE62" s="30">
        <f t="shared" si="8"/>
        <v>10</v>
      </c>
      <c r="AF62" s="30">
        <f t="shared" si="8"/>
        <v>10</v>
      </c>
      <c r="AG62" s="30">
        <f t="shared" si="8"/>
        <v>10</v>
      </c>
      <c r="AH62" s="30">
        <f t="shared" si="8"/>
        <v>10</v>
      </c>
    </row>
    <row r="63" spans="1:34" s="31" customFormat="1" x14ac:dyDescent="0.3">
      <c r="B63" s="99"/>
      <c r="C63" s="99"/>
      <c r="D63" s="99" t="s">
        <v>9</v>
      </c>
      <c r="I63" s="31">
        <f t="shared" ref="I63:AH63" si="9">SUM(I57:I62)</f>
        <v>56</v>
      </c>
      <c r="J63" s="31">
        <f t="shared" si="9"/>
        <v>53</v>
      </c>
      <c r="K63" s="31">
        <f t="shared" si="9"/>
        <v>48</v>
      </c>
      <c r="L63" s="31">
        <f t="shared" si="9"/>
        <v>48</v>
      </c>
      <c r="M63" s="31">
        <f t="shared" si="9"/>
        <v>48</v>
      </c>
      <c r="N63" s="31">
        <f t="shared" si="9"/>
        <v>48</v>
      </c>
      <c r="O63" s="31">
        <f t="shared" si="9"/>
        <v>48</v>
      </c>
      <c r="P63" s="31">
        <f t="shared" si="9"/>
        <v>48</v>
      </c>
      <c r="Q63" s="31">
        <f t="shared" si="9"/>
        <v>48</v>
      </c>
      <c r="R63" s="31">
        <f t="shared" si="9"/>
        <v>48</v>
      </c>
      <c r="S63" s="31">
        <f t="shared" si="9"/>
        <v>48</v>
      </c>
      <c r="T63" s="31">
        <f t="shared" si="9"/>
        <v>48</v>
      </c>
      <c r="U63" s="31">
        <f t="shared" si="9"/>
        <v>48</v>
      </c>
      <c r="V63" s="31">
        <f t="shared" si="9"/>
        <v>48</v>
      </c>
      <c r="W63" s="31">
        <f t="shared" si="9"/>
        <v>48</v>
      </c>
      <c r="X63" s="31">
        <f t="shared" si="9"/>
        <v>48</v>
      </c>
      <c r="Y63" s="31">
        <f t="shared" si="9"/>
        <v>48</v>
      </c>
      <c r="Z63" s="31">
        <f t="shared" si="9"/>
        <v>48</v>
      </c>
      <c r="AA63" s="31">
        <f t="shared" si="9"/>
        <v>48</v>
      </c>
      <c r="AB63" s="31">
        <f t="shared" si="9"/>
        <v>48</v>
      </c>
      <c r="AC63" s="31">
        <f t="shared" si="9"/>
        <v>48</v>
      </c>
      <c r="AD63" s="31">
        <f t="shared" si="9"/>
        <v>48</v>
      </c>
      <c r="AE63" s="31">
        <f t="shared" si="9"/>
        <v>48</v>
      </c>
      <c r="AF63" s="31">
        <f t="shared" si="9"/>
        <v>48</v>
      </c>
      <c r="AG63" s="31">
        <f t="shared" si="9"/>
        <v>48</v>
      </c>
      <c r="AH63" s="31">
        <f t="shared" si="9"/>
        <v>48</v>
      </c>
    </row>
    <row r="64" spans="1:34" s="30" customFormat="1" x14ac:dyDescent="0.3">
      <c r="A64" s="31"/>
      <c r="B64" s="31"/>
      <c r="C64" s="31"/>
    </row>
    <row r="65" spans="1:34" s="30" customFormat="1" x14ac:dyDescent="0.3">
      <c r="A65" s="31"/>
      <c r="B65" s="31"/>
      <c r="C65" s="31" t="s">
        <v>288</v>
      </c>
    </row>
    <row r="66" spans="1:34" s="30" customFormat="1" x14ac:dyDescent="0.3">
      <c r="A66" s="31"/>
      <c r="B66" s="31"/>
      <c r="C66" s="31"/>
      <c r="D66" s="30" t="str">
        <f t="shared" ref="D66:D71" si="10">D57</f>
        <v>Top Picks</v>
      </c>
      <c r="I66" s="30">
        <v>22</v>
      </c>
      <c r="J66" s="30">
        <f t="shared" ref="J66:O70" si="11">I66</f>
        <v>22</v>
      </c>
      <c r="K66" s="30">
        <f t="shared" si="11"/>
        <v>22</v>
      </c>
      <c r="L66" s="30">
        <f t="shared" si="11"/>
        <v>22</v>
      </c>
      <c r="M66" s="30">
        <f t="shared" si="11"/>
        <v>22</v>
      </c>
      <c r="N66" s="30">
        <f t="shared" si="11"/>
        <v>22</v>
      </c>
      <c r="O66" s="30">
        <f t="shared" si="11"/>
        <v>22</v>
      </c>
      <c r="P66" s="30">
        <v>24</v>
      </c>
      <c r="Q66" s="30">
        <f t="shared" ref="Q66:AH66" si="12">P66</f>
        <v>24</v>
      </c>
      <c r="R66" s="30">
        <f t="shared" si="12"/>
        <v>24</v>
      </c>
      <c r="S66" s="30">
        <f t="shared" si="12"/>
        <v>24</v>
      </c>
      <c r="T66" s="30">
        <f t="shared" si="12"/>
        <v>24</v>
      </c>
      <c r="U66" s="30">
        <f t="shared" si="12"/>
        <v>24</v>
      </c>
      <c r="V66" s="30">
        <f t="shared" si="12"/>
        <v>24</v>
      </c>
      <c r="W66" s="30">
        <f t="shared" si="12"/>
        <v>24</v>
      </c>
      <c r="X66" s="30">
        <f t="shared" si="12"/>
        <v>24</v>
      </c>
      <c r="Y66" s="30">
        <f t="shared" si="12"/>
        <v>24</v>
      </c>
      <c r="Z66" s="30">
        <f t="shared" si="12"/>
        <v>24</v>
      </c>
      <c r="AA66" s="30">
        <f t="shared" si="12"/>
        <v>24</v>
      </c>
      <c r="AB66" s="30">
        <f t="shared" si="12"/>
        <v>24</v>
      </c>
      <c r="AC66" s="30">
        <f t="shared" si="12"/>
        <v>24</v>
      </c>
      <c r="AD66" s="30">
        <f t="shared" si="12"/>
        <v>24</v>
      </c>
      <c r="AE66" s="30">
        <f t="shared" si="12"/>
        <v>24</v>
      </c>
      <c r="AF66" s="30">
        <f t="shared" si="12"/>
        <v>24</v>
      </c>
      <c r="AG66" s="30">
        <f t="shared" si="12"/>
        <v>24</v>
      </c>
      <c r="AH66" s="30">
        <f t="shared" si="12"/>
        <v>24</v>
      </c>
    </row>
    <row r="67" spans="1:34" s="30" customFormat="1" x14ac:dyDescent="0.3">
      <c r="A67" s="31"/>
      <c r="B67" s="31"/>
      <c r="C67" s="31"/>
      <c r="D67" s="30" t="str">
        <f t="shared" si="10"/>
        <v>RTGs</v>
      </c>
      <c r="I67" s="30">
        <v>0</v>
      </c>
      <c r="J67" s="30">
        <f t="shared" si="11"/>
        <v>0</v>
      </c>
      <c r="K67" s="30">
        <f t="shared" si="11"/>
        <v>0</v>
      </c>
      <c r="L67" s="30">
        <f t="shared" si="11"/>
        <v>0</v>
      </c>
      <c r="M67" s="30">
        <f t="shared" si="11"/>
        <v>0</v>
      </c>
      <c r="N67" s="30">
        <f t="shared" si="11"/>
        <v>0</v>
      </c>
      <c r="O67" s="30">
        <f t="shared" si="11"/>
        <v>0</v>
      </c>
      <c r="P67" s="30">
        <f>O67</f>
        <v>0</v>
      </c>
      <c r="Q67" s="30">
        <f t="shared" ref="Q67:AH67" si="13">P67</f>
        <v>0</v>
      </c>
      <c r="R67" s="30">
        <f t="shared" si="13"/>
        <v>0</v>
      </c>
      <c r="S67" s="30">
        <f t="shared" si="13"/>
        <v>0</v>
      </c>
      <c r="T67" s="30">
        <f t="shared" si="13"/>
        <v>0</v>
      </c>
      <c r="U67" s="30">
        <f t="shared" si="13"/>
        <v>0</v>
      </c>
      <c r="V67" s="30">
        <f t="shared" si="13"/>
        <v>0</v>
      </c>
      <c r="W67" s="30">
        <f t="shared" si="13"/>
        <v>0</v>
      </c>
      <c r="X67" s="30">
        <f t="shared" si="13"/>
        <v>0</v>
      </c>
      <c r="Y67" s="30">
        <f t="shared" si="13"/>
        <v>0</v>
      </c>
      <c r="Z67" s="30">
        <f t="shared" si="13"/>
        <v>0</v>
      </c>
      <c r="AA67" s="30">
        <f t="shared" si="13"/>
        <v>0</v>
      </c>
      <c r="AB67" s="30">
        <f t="shared" si="13"/>
        <v>0</v>
      </c>
      <c r="AC67" s="30">
        <f t="shared" si="13"/>
        <v>0</v>
      </c>
      <c r="AD67" s="30">
        <f t="shared" si="13"/>
        <v>0</v>
      </c>
      <c r="AE67" s="30">
        <f t="shared" si="13"/>
        <v>0</v>
      </c>
      <c r="AF67" s="30">
        <f t="shared" si="13"/>
        <v>0</v>
      </c>
      <c r="AG67" s="30">
        <f t="shared" si="13"/>
        <v>0</v>
      </c>
      <c r="AH67" s="30">
        <f t="shared" si="13"/>
        <v>0</v>
      </c>
    </row>
    <row r="68" spans="1:34" s="30" customFormat="1" x14ac:dyDescent="0.3">
      <c r="A68" s="31"/>
      <c r="B68" s="31"/>
      <c r="C68" s="31"/>
      <c r="D68" s="30" t="str">
        <f t="shared" si="10"/>
        <v>Forklifts, 10000 lb</v>
      </c>
      <c r="I68" s="30">
        <f>I61</f>
        <v>10</v>
      </c>
      <c r="J68" s="30">
        <f t="shared" si="11"/>
        <v>10</v>
      </c>
      <c r="K68" s="30">
        <f t="shared" si="11"/>
        <v>10</v>
      </c>
      <c r="L68" s="30">
        <f t="shared" si="11"/>
        <v>10</v>
      </c>
      <c r="M68" s="30">
        <f t="shared" si="11"/>
        <v>10</v>
      </c>
      <c r="N68" s="30">
        <f t="shared" si="11"/>
        <v>10</v>
      </c>
      <c r="O68" s="30">
        <f t="shared" si="11"/>
        <v>10</v>
      </c>
      <c r="P68" s="30">
        <f>O68</f>
        <v>10</v>
      </c>
      <c r="Q68" s="30">
        <f t="shared" ref="Q68:AH68" si="14">P68</f>
        <v>10</v>
      </c>
      <c r="R68" s="30">
        <f t="shared" si="14"/>
        <v>10</v>
      </c>
      <c r="S68" s="30">
        <f t="shared" si="14"/>
        <v>10</v>
      </c>
      <c r="T68" s="30">
        <f t="shared" si="14"/>
        <v>10</v>
      </c>
      <c r="U68" s="30">
        <f t="shared" si="14"/>
        <v>10</v>
      </c>
      <c r="V68" s="30">
        <f t="shared" si="14"/>
        <v>10</v>
      </c>
      <c r="W68" s="30">
        <f t="shared" si="14"/>
        <v>10</v>
      </c>
      <c r="X68" s="30">
        <f t="shared" si="14"/>
        <v>10</v>
      </c>
      <c r="Y68" s="30">
        <f t="shared" si="14"/>
        <v>10</v>
      </c>
      <c r="Z68" s="30">
        <f t="shared" si="14"/>
        <v>10</v>
      </c>
      <c r="AA68" s="30">
        <f t="shared" si="14"/>
        <v>10</v>
      </c>
      <c r="AB68" s="30">
        <f t="shared" si="14"/>
        <v>10</v>
      </c>
      <c r="AC68" s="30">
        <f t="shared" si="14"/>
        <v>10</v>
      </c>
      <c r="AD68" s="30">
        <f t="shared" si="14"/>
        <v>10</v>
      </c>
      <c r="AE68" s="30">
        <f t="shared" si="14"/>
        <v>10</v>
      </c>
      <c r="AF68" s="30">
        <f t="shared" si="14"/>
        <v>10</v>
      </c>
      <c r="AG68" s="30">
        <f t="shared" si="14"/>
        <v>10</v>
      </c>
      <c r="AH68" s="30">
        <f t="shared" si="14"/>
        <v>10</v>
      </c>
    </row>
    <row r="69" spans="1:34" s="30" customFormat="1" x14ac:dyDescent="0.3">
      <c r="A69" s="31"/>
      <c r="B69" s="31"/>
      <c r="C69" s="31"/>
      <c r="D69" s="30" t="str">
        <f t="shared" si="10"/>
        <v>Forklifts, 18000 lb</v>
      </c>
      <c r="I69" s="30">
        <v>5</v>
      </c>
      <c r="J69" s="30">
        <f t="shared" si="11"/>
        <v>5</v>
      </c>
      <c r="K69" s="30">
        <f t="shared" si="11"/>
        <v>5</v>
      </c>
      <c r="L69" s="30">
        <f t="shared" si="11"/>
        <v>5</v>
      </c>
      <c r="M69" s="30">
        <f t="shared" si="11"/>
        <v>5</v>
      </c>
      <c r="N69" s="30">
        <f t="shared" si="11"/>
        <v>5</v>
      </c>
      <c r="O69" s="30">
        <f t="shared" si="11"/>
        <v>5</v>
      </c>
      <c r="P69" s="30">
        <f>O69</f>
        <v>5</v>
      </c>
      <c r="Q69" s="30">
        <f t="shared" ref="Q69:AH69" si="15">P69</f>
        <v>5</v>
      </c>
      <c r="R69" s="30">
        <f t="shared" si="15"/>
        <v>5</v>
      </c>
      <c r="S69" s="30">
        <f t="shared" si="15"/>
        <v>5</v>
      </c>
      <c r="T69" s="30">
        <f t="shared" si="15"/>
        <v>5</v>
      </c>
      <c r="U69" s="30">
        <f t="shared" si="15"/>
        <v>5</v>
      </c>
      <c r="V69" s="30">
        <f t="shared" si="15"/>
        <v>5</v>
      </c>
      <c r="W69" s="30">
        <f t="shared" si="15"/>
        <v>5</v>
      </c>
      <c r="X69" s="30">
        <f t="shared" si="15"/>
        <v>5</v>
      </c>
      <c r="Y69" s="30">
        <f t="shared" si="15"/>
        <v>5</v>
      </c>
      <c r="Z69" s="30">
        <f t="shared" si="15"/>
        <v>5</v>
      </c>
      <c r="AA69" s="30">
        <f t="shared" si="15"/>
        <v>5</v>
      </c>
      <c r="AB69" s="30">
        <f t="shared" si="15"/>
        <v>5</v>
      </c>
      <c r="AC69" s="30">
        <f t="shared" si="15"/>
        <v>5</v>
      </c>
      <c r="AD69" s="30">
        <f t="shared" si="15"/>
        <v>5</v>
      </c>
      <c r="AE69" s="30">
        <f t="shared" si="15"/>
        <v>5</v>
      </c>
      <c r="AF69" s="30">
        <f t="shared" si="15"/>
        <v>5</v>
      </c>
      <c r="AG69" s="30">
        <f t="shared" si="15"/>
        <v>5</v>
      </c>
      <c r="AH69" s="30">
        <f t="shared" si="15"/>
        <v>5</v>
      </c>
    </row>
    <row r="70" spans="1:34" s="30" customFormat="1" x14ac:dyDescent="0.3">
      <c r="A70" s="31"/>
      <c r="B70" s="31"/>
      <c r="C70" s="31"/>
      <c r="D70" s="30" t="str">
        <f t="shared" si="10"/>
        <v>Forklifts, 36000 lb</v>
      </c>
      <c r="I70" s="30">
        <f>I62</f>
        <v>10</v>
      </c>
      <c r="J70" s="30">
        <f t="shared" si="11"/>
        <v>10</v>
      </c>
      <c r="K70" s="30">
        <f t="shared" si="11"/>
        <v>10</v>
      </c>
      <c r="L70" s="30">
        <f t="shared" si="11"/>
        <v>10</v>
      </c>
      <c r="M70" s="30">
        <f t="shared" si="11"/>
        <v>10</v>
      </c>
      <c r="N70" s="30">
        <f t="shared" si="11"/>
        <v>10</v>
      </c>
      <c r="O70" s="30">
        <f t="shared" si="11"/>
        <v>10</v>
      </c>
      <c r="P70" s="30">
        <f>O70</f>
        <v>10</v>
      </c>
      <c r="Q70" s="30">
        <f t="shared" ref="Q70:AH70" si="16">P70</f>
        <v>10</v>
      </c>
      <c r="R70" s="30">
        <f t="shared" si="16"/>
        <v>10</v>
      </c>
      <c r="S70" s="30">
        <f t="shared" si="16"/>
        <v>10</v>
      </c>
      <c r="T70" s="30">
        <f t="shared" si="16"/>
        <v>10</v>
      </c>
      <c r="U70" s="30">
        <f t="shared" si="16"/>
        <v>10</v>
      </c>
      <c r="V70" s="30">
        <f t="shared" si="16"/>
        <v>10</v>
      </c>
      <c r="W70" s="30">
        <f t="shared" si="16"/>
        <v>10</v>
      </c>
      <c r="X70" s="30">
        <f t="shared" si="16"/>
        <v>10</v>
      </c>
      <c r="Y70" s="30">
        <f t="shared" si="16"/>
        <v>10</v>
      </c>
      <c r="Z70" s="30">
        <f t="shared" si="16"/>
        <v>10</v>
      </c>
      <c r="AA70" s="30">
        <f t="shared" si="16"/>
        <v>10</v>
      </c>
      <c r="AB70" s="30">
        <f t="shared" si="16"/>
        <v>10</v>
      </c>
      <c r="AC70" s="30">
        <f t="shared" si="16"/>
        <v>10</v>
      </c>
      <c r="AD70" s="30">
        <f t="shared" si="16"/>
        <v>10</v>
      </c>
      <c r="AE70" s="30">
        <f t="shared" si="16"/>
        <v>10</v>
      </c>
      <c r="AF70" s="30">
        <f t="shared" si="16"/>
        <v>10</v>
      </c>
      <c r="AG70" s="30">
        <f t="shared" si="16"/>
        <v>10</v>
      </c>
      <c r="AH70" s="30">
        <f t="shared" si="16"/>
        <v>10</v>
      </c>
    </row>
    <row r="71" spans="1:34" s="30" customFormat="1" x14ac:dyDescent="0.3">
      <c r="A71" s="31"/>
      <c r="B71" s="31"/>
      <c r="C71" s="31"/>
      <c r="D71" s="30" t="str">
        <f t="shared" si="10"/>
        <v>Yard Tractors</v>
      </c>
      <c r="I71" s="30">
        <v>10</v>
      </c>
      <c r="J71" s="30">
        <v>10</v>
      </c>
      <c r="K71" s="30">
        <f>J71</f>
        <v>10</v>
      </c>
      <c r="L71" s="30">
        <f>K71</f>
        <v>10</v>
      </c>
      <c r="M71" s="30">
        <f>L71</f>
        <v>10</v>
      </c>
      <c r="N71" s="30">
        <f>M71</f>
        <v>10</v>
      </c>
      <c r="O71" s="30">
        <f>N71</f>
        <v>10</v>
      </c>
      <c r="P71" s="30">
        <f>O71</f>
        <v>10</v>
      </c>
      <c r="Q71" s="30">
        <f t="shared" ref="Q71:AH71" si="17">P71</f>
        <v>10</v>
      </c>
      <c r="R71" s="30">
        <f t="shared" si="17"/>
        <v>10</v>
      </c>
      <c r="S71" s="30">
        <f t="shared" si="17"/>
        <v>10</v>
      </c>
      <c r="T71" s="30">
        <f t="shared" si="17"/>
        <v>10</v>
      </c>
      <c r="U71" s="30">
        <f t="shared" si="17"/>
        <v>10</v>
      </c>
      <c r="V71" s="30">
        <f t="shared" si="17"/>
        <v>10</v>
      </c>
      <c r="W71" s="30">
        <f t="shared" si="17"/>
        <v>10</v>
      </c>
      <c r="X71" s="30">
        <f t="shared" si="17"/>
        <v>10</v>
      </c>
      <c r="Y71" s="30">
        <f t="shared" si="17"/>
        <v>10</v>
      </c>
      <c r="Z71" s="30">
        <f t="shared" si="17"/>
        <v>10</v>
      </c>
      <c r="AA71" s="30">
        <f t="shared" si="17"/>
        <v>10</v>
      </c>
      <c r="AB71" s="30">
        <f t="shared" si="17"/>
        <v>10</v>
      </c>
      <c r="AC71" s="30">
        <f t="shared" si="17"/>
        <v>10</v>
      </c>
      <c r="AD71" s="30">
        <f t="shared" si="17"/>
        <v>10</v>
      </c>
      <c r="AE71" s="30">
        <f t="shared" si="17"/>
        <v>10</v>
      </c>
      <c r="AF71" s="30">
        <f t="shared" si="17"/>
        <v>10</v>
      </c>
      <c r="AG71" s="30">
        <f t="shared" si="17"/>
        <v>10</v>
      </c>
      <c r="AH71" s="30">
        <f t="shared" si="17"/>
        <v>10</v>
      </c>
    </row>
    <row r="72" spans="1:34" s="31" customFormat="1" x14ac:dyDescent="0.3">
      <c r="D72" s="31" t="s">
        <v>9</v>
      </c>
      <c r="I72" s="31">
        <f t="shared" ref="I72:AH72" si="18">SUM(I66:I71)</f>
        <v>57</v>
      </c>
      <c r="J72" s="31">
        <f t="shared" si="18"/>
        <v>57</v>
      </c>
      <c r="K72" s="31">
        <f t="shared" si="18"/>
        <v>57</v>
      </c>
      <c r="L72" s="31">
        <f t="shared" si="18"/>
        <v>57</v>
      </c>
      <c r="M72" s="31">
        <f t="shared" si="18"/>
        <v>57</v>
      </c>
      <c r="N72" s="31">
        <f t="shared" si="18"/>
        <v>57</v>
      </c>
      <c r="O72" s="31">
        <f t="shared" si="18"/>
        <v>57</v>
      </c>
      <c r="P72" s="31">
        <f t="shared" si="18"/>
        <v>59</v>
      </c>
      <c r="Q72" s="31">
        <f t="shared" si="18"/>
        <v>59</v>
      </c>
      <c r="R72" s="31">
        <f t="shared" si="18"/>
        <v>59</v>
      </c>
      <c r="S72" s="31">
        <f t="shared" si="18"/>
        <v>59</v>
      </c>
      <c r="T72" s="31">
        <f t="shared" si="18"/>
        <v>59</v>
      </c>
      <c r="U72" s="31">
        <f t="shared" si="18"/>
        <v>59</v>
      </c>
      <c r="V72" s="31">
        <f t="shared" si="18"/>
        <v>59</v>
      </c>
      <c r="W72" s="31">
        <f t="shared" si="18"/>
        <v>59</v>
      </c>
      <c r="X72" s="31">
        <f t="shared" si="18"/>
        <v>59</v>
      </c>
      <c r="Y72" s="31">
        <f t="shared" si="18"/>
        <v>59</v>
      </c>
      <c r="Z72" s="31">
        <f t="shared" si="18"/>
        <v>59</v>
      </c>
      <c r="AA72" s="31">
        <f t="shared" si="18"/>
        <v>59</v>
      </c>
      <c r="AB72" s="31">
        <f t="shared" si="18"/>
        <v>59</v>
      </c>
      <c r="AC72" s="31">
        <f t="shared" si="18"/>
        <v>59</v>
      </c>
      <c r="AD72" s="31">
        <f t="shared" si="18"/>
        <v>59</v>
      </c>
      <c r="AE72" s="31">
        <f t="shared" si="18"/>
        <v>59</v>
      </c>
      <c r="AF72" s="31">
        <f t="shared" si="18"/>
        <v>59</v>
      </c>
      <c r="AG72" s="31">
        <f t="shared" si="18"/>
        <v>59</v>
      </c>
      <c r="AH72" s="31">
        <f t="shared" si="18"/>
        <v>59</v>
      </c>
    </row>
    <row r="73" spans="1:34" s="30" customFormat="1" x14ac:dyDescent="0.3">
      <c r="A73" s="31"/>
      <c r="B73" s="31"/>
      <c r="C73" s="31"/>
    </row>
    <row r="74" spans="1:34" s="30" customFormat="1" x14ac:dyDescent="0.3">
      <c r="A74" s="31"/>
      <c r="B74" s="31"/>
      <c r="C74" s="30" t="s">
        <v>243</v>
      </c>
      <c r="H74" s="30" t="s">
        <v>246</v>
      </c>
      <c r="I74" s="30" t="s">
        <v>247</v>
      </c>
    </row>
    <row r="75" spans="1:34" s="30" customFormat="1" x14ac:dyDescent="0.3">
      <c r="A75" s="31"/>
      <c r="B75" s="31"/>
      <c r="C75" s="31"/>
      <c r="D75" s="30" t="s">
        <v>177</v>
      </c>
      <c r="E75" s="30" t="s">
        <v>244</v>
      </c>
      <c r="G75" s="30">
        <v>5.0999999999999996</v>
      </c>
      <c r="H75" s="30" t="s">
        <v>245</v>
      </c>
      <c r="I75" s="4" t="s">
        <v>248</v>
      </c>
    </row>
    <row r="76" spans="1:34" s="30" customFormat="1" x14ac:dyDescent="0.3">
      <c r="A76" s="31"/>
      <c r="B76" s="31"/>
      <c r="C76" s="31"/>
      <c r="D76" s="30" t="s">
        <v>249</v>
      </c>
      <c r="E76" s="30" t="s">
        <v>244</v>
      </c>
      <c r="F76" s="30" t="s">
        <v>251</v>
      </c>
      <c r="G76" s="30">
        <v>9.1</v>
      </c>
      <c r="H76" s="4" t="s">
        <v>250</v>
      </c>
    </row>
    <row r="77" spans="1:34" s="30" customFormat="1" x14ac:dyDescent="0.3">
      <c r="A77" s="31"/>
      <c r="B77" s="31"/>
      <c r="C77" s="31"/>
      <c r="D77" s="30" t="s">
        <v>262</v>
      </c>
      <c r="E77" s="30" t="s">
        <v>244</v>
      </c>
      <c r="G77" s="30">
        <v>0.75</v>
      </c>
    </row>
    <row r="78" spans="1:34" s="30" customFormat="1" x14ac:dyDescent="0.3">
      <c r="A78" s="31"/>
      <c r="B78" s="31"/>
      <c r="C78" s="31"/>
      <c r="D78" s="30" t="s">
        <v>256</v>
      </c>
      <c r="E78" s="30" t="s">
        <v>274</v>
      </c>
      <c r="G78" s="30">
        <v>10.5</v>
      </c>
      <c r="H78" s="30" t="s">
        <v>282</v>
      </c>
    </row>
    <row r="79" spans="1:34" s="30" customFormat="1" x14ac:dyDescent="0.3">
      <c r="A79" s="31"/>
      <c r="B79" s="31"/>
      <c r="C79" s="31"/>
      <c r="D79" s="30" t="s">
        <v>279</v>
      </c>
      <c r="E79" s="30" t="s">
        <v>244</v>
      </c>
      <c r="G79" s="30">
        <v>1.25</v>
      </c>
      <c r="H79" s="4"/>
    </row>
    <row r="80" spans="1:34" s="30" customFormat="1" x14ac:dyDescent="0.3">
      <c r="A80" s="31"/>
      <c r="B80" s="31"/>
      <c r="C80" s="31"/>
      <c r="D80" s="30" t="s">
        <v>255</v>
      </c>
      <c r="E80" s="30" t="s">
        <v>274</v>
      </c>
      <c r="G80" s="30">
        <v>12</v>
      </c>
      <c r="H80" s="30" t="s">
        <v>282</v>
      </c>
    </row>
    <row r="81" spans="1:8" s="30" customFormat="1" x14ac:dyDescent="0.3">
      <c r="A81" s="31"/>
      <c r="B81" s="31"/>
      <c r="C81" s="31"/>
      <c r="D81" s="30" t="s">
        <v>254</v>
      </c>
      <c r="E81" s="30" t="s">
        <v>244</v>
      </c>
      <c r="G81" s="30">
        <v>1.45</v>
      </c>
      <c r="H81" s="4"/>
    </row>
    <row r="82" spans="1:8" s="30" customFormat="1" x14ac:dyDescent="0.3">
      <c r="A82" s="31"/>
      <c r="B82" s="31"/>
      <c r="C82" s="31"/>
      <c r="D82" s="30" t="s">
        <v>257</v>
      </c>
      <c r="E82" s="30" t="s">
        <v>274</v>
      </c>
      <c r="G82" s="30">
        <v>15</v>
      </c>
      <c r="H82" s="30" t="s">
        <v>261</v>
      </c>
    </row>
    <row r="83" spans="1:8" s="30" customFormat="1" x14ac:dyDescent="0.3">
      <c r="A83" s="31"/>
      <c r="B83" s="31"/>
      <c r="C83" s="31"/>
      <c r="D83" s="30" t="s">
        <v>284</v>
      </c>
      <c r="E83" s="30" t="s">
        <v>244</v>
      </c>
      <c r="G83" s="30">
        <v>2</v>
      </c>
    </row>
    <row r="84" spans="1:8" s="30" customFormat="1" x14ac:dyDescent="0.3">
      <c r="A84" s="31"/>
      <c r="B84" s="31"/>
      <c r="C84" s="31"/>
      <c r="D84" s="30" t="s">
        <v>283</v>
      </c>
      <c r="E84" s="30" t="s">
        <v>274</v>
      </c>
      <c r="F84" s="30" t="s">
        <v>285</v>
      </c>
      <c r="G84" s="17">
        <f>132/17*G83</f>
        <v>15.529411764705882</v>
      </c>
    </row>
    <row r="85" spans="1:8" s="30" customFormat="1" x14ac:dyDescent="0.3">
      <c r="A85" s="31"/>
      <c r="B85" s="31"/>
      <c r="C85" s="31"/>
      <c r="D85" s="30" t="s">
        <v>265</v>
      </c>
      <c r="E85" s="30" t="s">
        <v>244</v>
      </c>
      <c r="G85" s="30">
        <v>11</v>
      </c>
      <c r="H85" s="30" t="s">
        <v>276</v>
      </c>
    </row>
    <row r="86" spans="1:8" s="30" customFormat="1" x14ac:dyDescent="0.3">
      <c r="A86" s="31"/>
      <c r="B86" s="31"/>
      <c r="C86" s="31"/>
      <c r="D86" s="30" t="s">
        <v>266</v>
      </c>
      <c r="E86" s="30" t="s">
        <v>244</v>
      </c>
      <c r="G86" s="30">
        <v>9</v>
      </c>
      <c r="H86" s="30" t="s">
        <v>276</v>
      </c>
    </row>
    <row r="87" spans="1:8" s="30" customFormat="1" x14ac:dyDescent="0.3">
      <c r="A87" s="31"/>
      <c r="B87" s="31"/>
      <c r="C87" s="31"/>
      <c r="D87" s="30" t="s">
        <v>267</v>
      </c>
      <c r="E87" s="30" t="s">
        <v>244</v>
      </c>
      <c r="G87" s="30">
        <v>1</v>
      </c>
      <c r="H87" s="30" t="s">
        <v>276</v>
      </c>
    </row>
    <row r="88" spans="1:8" s="30" customFormat="1" x14ac:dyDescent="0.3">
      <c r="A88" s="31"/>
      <c r="B88" s="31"/>
      <c r="C88" s="31"/>
      <c r="D88" s="30" t="s">
        <v>277</v>
      </c>
      <c r="E88" s="30" t="s">
        <v>274</v>
      </c>
      <c r="G88" s="67">
        <f>AVERAGE(325, 210)/30</f>
        <v>8.9166666666666661</v>
      </c>
      <c r="H88" s="30" t="s">
        <v>275</v>
      </c>
    </row>
    <row r="89" spans="1:8" s="30" customFormat="1" x14ac:dyDescent="0.3">
      <c r="A89" s="31"/>
      <c r="B89" s="31"/>
      <c r="C89" s="31"/>
    </row>
    <row r="90" spans="1:8" s="30" customFormat="1" x14ac:dyDescent="0.3">
      <c r="A90" s="31"/>
      <c r="B90" s="31"/>
      <c r="C90" s="31"/>
      <c r="D90" s="30" t="s">
        <v>253</v>
      </c>
      <c r="G90" s="8">
        <v>0.7</v>
      </c>
    </row>
    <row r="91" spans="1:8" s="30" customFormat="1" x14ac:dyDescent="0.3">
      <c r="A91" s="31"/>
      <c r="B91" s="31"/>
      <c r="C91" s="31"/>
      <c r="D91" s="30" t="s">
        <v>268</v>
      </c>
      <c r="G91" s="8">
        <v>0.55000000000000004</v>
      </c>
    </row>
    <row r="92" spans="1:8" s="30" customFormat="1" x14ac:dyDescent="0.3">
      <c r="A92" s="31"/>
      <c r="B92" s="31"/>
      <c r="C92" s="31"/>
      <c r="D92" s="30" t="s">
        <v>269</v>
      </c>
      <c r="G92" s="6">
        <v>160</v>
      </c>
    </row>
    <row r="93" spans="1:8" s="30" customFormat="1" x14ac:dyDescent="0.3">
      <c r="A93" s="31"/>
      <c r="B93" s="31"/>
      <c r="C93" s="31"/>
      <c r="G93" s="8"/>
    </row>
    <row r="94" spans="1:8" s="30" customFormat="1" x14ac:dyDescent="0.3">
      <c r="A94" s="31"/>
      <c r="B94" s="31"/>
      <c r="C94" s="31"/>
      <c r="D94" s="31" t="s">
        <v>289</v>
      </c>
      <c r="G94" s="8"/>
    </row>
    <row r="95" spans="1:8" s="30" customFormat="1" x14ac:dyDescent="0.3">
      <c r="A95" s="31"/>
      <c r="B95" s="31"/>
      <c r="C95" s="31"/>
      <c r="D95" s="30" t="s">
        <v>132</v>
      </c>
      <c r="E95" s="30" t="s">
        <v>252</v>
      </c>
      <c r="G95" s="86">
        <f>G75*2080*2*G$90</f>
        <v>14851.199999999999</v>
      </c>
    </row>
    <row r="96" spans="1:8" s="30" customFormat="1" x14ac:dyDescent="0.3">
      <c r="A96" s="31"/>
      <c r="B96" s="31"/>
      <c r="C96" s="31"/>
      <c r="D96" s="30" t="str">
        <f>D76</f>
        <v>RTGs, Hybrid</v>
      </c>
      <c r="E96" s="30" t="s">
        <v>252</v>
      </c>
      <c r="G96" s="86">
        <f>G76*2080*2*G$90*'7_PARAMS'!D23</f>
        <v>29443.555555555555</v>
      </c>
    </row>
    <row r="97" spans="1:8" s="30" customFormat="1" x14ac:dyDescent="0.3">
      <c r="A97" s="31"/>
      <c r="B97" s="31"/>
      <c r="C97" s="31"/>
      <c r="D97" s="30" t="s">
        <v>263</v>
      </c>
      <c r="E97" s="30" t="s">
        <v>252</v>
      </c>
      <c r="G97" s="86">
        <f>G77*2080*2*G$90</f>
        <v>2184</v>
      </c>
      <c r="H97" s="30" t="s">
        <v>264</v>
      </c>
    </row>
    <row r="98" spans="1:8" s="30" customFormat="1" x14ac:dyDescent="0.3">
      <c r="A98" s="31"/>
      <c r="B98" s="31"/>
      <c r="C98" s="31"/>
      <c r="D98" s="30" t="s">
        <v>256</v>
      </c>
      <c r="E98" s="30" t="s">
        <v>105</v>
      </c>
      <c r="G98" s="86">
        <f>G78*2080*2*G$90*'7_PARAMS'!D23</f>
        <v>33973.333333333328</v>
      </c>
      <c r="H98" s="38"/>
    </row>
    <row r="99" spans="1:8" s="30" customFormat="1" x14ac:dyDescent="0.3">
      <c r="A99" s="31"/>
      <c r="B99" s="31"/>
      <c r="C99" s="31"/>
      <c r="D99" s="30" t="s">
        <v>280</v>
      </c>
      <c r="E99" s="30" t="s">
        <v>252</v>
      </c>
      <c r="G99" s="86">
        <f>1.25*2080*2*G90</f>
        <v>3639.9999999999995</v>
      </c>
      <c r="H99" s="30" t="s">
        <v>281</v>
      </c>
    </row>
    <row r="100" spans="1:8" s="30" customFormat="1" x14ac:dyDescent="0.3">
      <c r="A100" s="31"/>
      <c r="B100" s="31"/>
      <c r="C100" s="31"/>
      <c r="D100" s="30" t="s">
        <v>255</v>
      </c>
      <c r="E100" s="30" t="s">
        <v>105</v>
      </c>
      <c r="G100" s="86">
        <f>G80*2080*2*G$90*'7_PARAMS'!D23</f>
        <v>38826.666666666672</v>
      </c>
      <c r="H100" s="38"/>
    </row>
    <row r="101" spans="1:8" s="30" customFormat="1" x14ac:dyDescent="0.3">
      <c r="A101" s="31"/>
      <c r="B101" s="31"/>
      <c r="C101" s="31"/>
      <c r="D101" s="30" t="s">
        <v>254</v>
      </c>
      <c r="E101" s="30" t="s">
        <v>252</v>
      </c>
      <c r="G101" s="86">
        <f>G81*2080*2*G$90</f>
        <v>4222.3999999999996</v>
      </c>
    </row>
    <row r="102" spans="1:8" s="30" customFormat="1" x14ac:dyDescent="0.3">
      <c r="A102" s="31"/>
      <c r="B102" s="31"/>
      <c r="C102" s="31"/>
      <c r="D102" s="30" t="s">
        <v>257</v>
      </c>
      <c r="E102" s="30" t="s">
        <v>105</v>
      </c>
      <c r="G102" s="86">
        <f>G82*2080*2*G$90*'7_PARAMS'!D23</f>
        <v>48533.333333333336</v>
      </c>
      <c r="H102" s="38"/>
    </row>
    <row r="103" spans="1:8" s="30" customFormat="1" x14ac:dyDescent="0.3">
      <c r="A103" s="31"/>
      <c r="B103" s="31"/>
      <c r="C103" s="31"/>
      <c r="D103" s="30" t="s">
        <v>258</v>
      </c>
      <c r="E103" s="30" t="s">
        <v>252</v>
      </c>
      <c r="G103" s="86">
        <f>G83*2080*2*G$90</f>
        <v>5824</v>
      </c>
    </row>
    <row r="104" spans="1:8" s="30" customFormat="1" x14ac:dyDescent="0.3">
      <c r="A104" s="31"/>
      <c r="B104" s="31"/>
      <c r="C104" s="31"/>
      <c r="D104" s="30" t="s">
        <v>259</v>
      </c>
      <c r="E104" s="30" t="s">
        <v>105</v>
      </c>
      <c r="G104" s="86">
        <f>G84*2080*2*G$90*'7_PARAMS'!D23</f>
        <v>50246.274509803916</v>
      </c>
    </row>
    <row r="105" spans="1:8" s="30" customFormat="1" x14ac:dyDescent="0.3">
      <c r="A105" s="31"/>
      <c r="B105" s="31"/>
      <c r="C105" s="31"/>
      <c r="D105" s="30" t="str">
        <f>D85</f>
        <v>Reefer Power Packs, 30 plugs, dual engine, Tier 3, 400 HP CAT</v>
      </c>
      <c r="E105" s="30" t="s">
        <v>252</v>
      </c>
      <c r="F105" s="30" t="s">
        <v>303</v>
      </c>
      <c r="G105" s="86">
        <f>$G$91*'7_PARAMS'!$D$5*'1_MODEL_assumptions'!G85*0.67</f>
        <v>35508.660000000003</v>
      </c>
    </row>
    <row r="106" spans="1:8" s="30" customFormat="1" x14ac:dyDescent="0.3">
      <c r="A106" s="31"/>
      <c r="B106" s="31"/>
      <c r="C106" s="31"/>
      <c r="D106" s="30" t="str">
        <f>D86</f>
        <v>Reefer Power Packs, 30 plugs, single engine, Tier 3 400 HP CAT</v>
      </c>
      <c r="E106" s="30" t="s">
        <v>252</v>
      </c>
      <c r="F106" s="30" t="s">
        <v>302</v>
      </c>
      <c r="G106" s="86">
        <f>$G$91*'7_PARAMS'!$D$5*'1_MODEL_assumptions'!G86*0.67</f>
        <v>29052.54</v>
      </c>
    </row>
    <row r="107" spans="1:8" s="30" customFormat="1" x14ac:dyDescent="0.3">
      <c r="A107" s="31"/>
      <c r="B107" s="31"/>
      <c r="C107" s="31"/>
      <c r="D107" s="30" t="str">
        <f>D87</f>
        <v>Nose Mount genset 1 plug, single engine, Tier 3, 32-34HP, Kubota / Carrier or Yanmar</v>
      </c>
      <c r="E107" s="30" t="s">
        <v>252</v>
      </c>
      <c r="F107" s="30" t="s">
        <v>293</v>
      </c>
      <c r="G107" s="86">
        <f>$G$91*'7_PARAMS'!$D$5*1*'1_MODEL_assumptions'!G87*0.67</f>
        <v>3228.0600000000004</v>
      </c>
    </row>
    <row r="108" spans="1:8" s="30" customFormat="1" x14ac:dyDescent="0.3">
      <c r="A108" s="31"/>
      <c r="B108" s="31"/>
      <c r="C108" s="31"/>
      <c r="D108" s="30" t="s">
        <v>273</v>
      </c>
      <c r="E108" s="30" t="s">
        <v>278</v>
      </c>
      <c r="F108" s="30" t="s">
        <v>293</v>
      </c>
      <c r="G108" s="86">
        <f>G91*'7_PARAMS'!D5*'1_MODEL_assumptions'!G88*0.67</f>
        <v>28783.535000000003</v>
      </c>
      <c r="H108" s="38"/>
    </row>
    <row r="109" spans="1:8" s="30" customFormat="1" x14ac:dyDescent="0.3">
      <c r="A109" s="31"/>
      <c r="B109" s="31"/>
      <c r="C109" s="31"/>
    </row>
    <row r="110" spans="1:8" x14ac:dyDescent="0.3">
      <c r="C110" s="1" t="s">
        <v>92</v>
      </c>
      <c r="F110" t="s">
        <v>91</v>
      </c>
      <c r="G110" t="s">
        <v>90</v>
      </c>
    </row>
    <row r="111" spans="1:8" x14ac:dyDescent="0.3">
      <c r="F111">
        <f t="shared" ref="F111:F126" si="19">F112-1</f>
        <v>2001</v>
      </c>
      <c r="G111">
        <v>1.4575</v>
      </c>
    </row>
    <row r="112" spans="1:8" x14ac:dyDescent="0.3">
      <c r="F112">
        <f t="shared" si="19"/>
        <v>2002</v>
      </c>
      <c r="G112">
        <v>1.4347999999999999</v>
      </c>
    </row>
    <row r="113" spans="6:7" x14ac:dyDescent="0.3">
      <c r="F113">
        <f t="shared" si="19"/>
        <v>2003</v>
      </c>
      <c r="G113">
        <v>1.4028</v>
      </c>
    </row>
    <row r="114" spans="6:7" x14ac:dyDescent="0.3">
      <c r="F114">
        <f t="shared" si="19"/>
        <v>2004</v>
      </c>
      <c r="G114">
        <v>1.3663999999999998</v>
      </c>
    </row>
    <row r="115" spans="6:7" x14ac:dyDescent="0.3">
      <c r="F115">
        <f t="shared" si="19"/>
        <v>2005</v>
      </c>
      <c r="G115">
        <v>1.3215999999999999</v>
      </c>
    </row>
    <row r="116" spans="6:7" x14ac:dyDescent="0.3">
      <c r="F116">
        <f t="shared" si="19"/>
        <v>2006</v>
      </c>
      <c r="G116">
        <v>1.2803</v>
      </c>
    </row>
    <row r="117" spans="6:7" x14ac:dyDescent="0.3">
      <c r="F117">
        <f t="shared" si="19"/>
        <v>2007</v>
      </c>
      <c r="G117">
        <v>1.2803</v>
      </c>
    </row>
    <row r="118" spans="6:7" x14ac:dyDescent="0.3">
      <c r="F118">
        <f t="shared" si="19"/>
        <v>2008</v>
      </c>
      <c r="G118">
        <v>1.1987999999999999</v>
      </c>
    </row>
    <row r="119" spans="6:7" x14ac:dyDescent="0.3">
      <c r="F119">
        <f t="shared" si="19"/>
        <v>2009</v>
      </c>
      <c r="G119">
        <v>1.2031000000000001</v>
      </c>
    </row>
    <row r="120" spans="6:7" x14ac:dyDescent="0.3">
      <c r="F120">
        <f t="shared" si="19"/>
        <v>2010</v>
      </c>
      <c r="G120">
        <v>1.1837</v>
      </c>
    </row>
    <row r="121" spans="6:7" x14ac:dyDescent="0.3">
      <c r="F121">
        <f t="shared" si="19"/>
        <v>2011</v>
      </c>
      <c r="G121">
        <v>1.1475</v>
      </c>
    </row>
    <row r="122" spans="6:7" x14ac:dyDescent="0.3">
      <c r="F122">
        <f t="shared" si="19"/>
        <v>2012</v>
      </c>
      <c r="G122">
        <v>1.1242000000000001</v>
      </c>
    </row>
    <row r="123" spans="6:7" x14ac:dyDescent="0.3">
      <c r="F123">
        <f t="shared" si="19"/>
        <v>2013</v>
      </c>
      <c r="G123">
        <v>1.1079999999999999</v>
      </c>
    </row>
    <row r="124" spans="6:7" x14ac:dyDescent="0.3">
      <c r="F124">
        <f t="shared" si="19"/>
        <v>2014</v>
      </c>
      <c r="G124">
        <v>1.0903</v>
      </c>
    </row>
    <row r="125" spans="6:7" x14ac:dyDescent="0.3">
      <c r="F125">
        <f t="shared" si="19"/>
        <v>2015</v>
      </c>
      <c r="G125">
        <v>1.089</v>
      </c>
    </row>
    <row r="126" spans="6:7" x14ac:dyDescent="0.3">
      <c r="F126">
        <f t="shared" si="19"/>
        <v>2016</v>
      </c>
      <c r="G126">
        <v>1.0754000000000001</v>
      </c>
    </row>
    <row r="127" spans="6:7" x14ac:dyDescent="0.3">
      <c r="F127">
        <v>2017</v>
      </c>
      <c r="G127">
        <v>1.0529999999999999</v>
      </c>
    </row>
    <row r="128" spans="6:7" x14ac:dyDescent="0.3">
      <c r="F128">
        <f>F127+1</f>
        <v>2018</v>
      </c>
      <c r="G128">
        <v>1.0273999999999999</v>
      </c>
    </row>
    <row r="129" spans="3:34" s="30" customFormat="1" x14ac:dyDescent="0.3">
      <c r="F129" s="30">
        <f>F128+1</f>
        <v>2019</v>
      </c>
      <c r="G129">
        <v>1.0095999999999998</v>
      </c>
    </row>
    <row r="130" spans="3:34" s="30" customFormat="1" x14ac:dyDescent="0.3">
      <c r="F130" s="30">
        <f>F129+1</f>
        <v>2020</v>
      </c>
      <c r="G130" s="30">
        <v>1</v>
      </c>
    </row>
    <row r="131" spans="3:34" x14ac:dyDescent="0.3">
      <c r="C131" s="1" t="s">
        <v>93</v>
      </c>
    </row>
    <row r="132" spans="3:34" x14ac:dyDescent="0.3">
      <c r="D132" t="s">
        <v>94</v>
      </c>
      <c r="H132" s="30">
        <f>(1+7%)^'3_MODEL_main'!H1</f>
        <v>0.93457943925233644</v>
      </c>
      <c r="I132" s="30">
        <f>(1+7%)^'3_MODEL_main'!I$1</f>
        <v>1</v>
      </c>
      <c r="J132" s="30">
        <f>(1+7%)^'3_MODEL_main'!J1</f>
        <v>1.07</v>
      </c>
      <c r="K132" s="30">
        <f>(1+7%)^'3_MODEL_main'!K1</f>
        <v>1.1449</v>
      </c>
      <c r="L132" s="30">
        <f>(1+7%)^'3_MODEL_main'!L1</f>
        <v>1.2250430000000001</v>
      </c>
      <c r="M132" s="30">
        <f>(1+7%)^'3_MODEL_main'!M1</f>
        <v>1.31079601</v>
      </c>
      <c r="N132" s="30">
        <f>(1+7%)^'3_MODEL_main'!N1</f>
        <v>1.4025517307000002</v>
      </c>
      <c r="O132" s="30">
        <f>(1+7%)^'3_MODEL_main'!O1</f>
        <v>1.5007303518490001</v>
      </c>
      <c r="P132" s="30">
        <f>(1+7%)^'3_MODEL_main'!P1</f>
        <v>1.6057814764784302</v>
      </c>
      <c r="Q132" s="30">
        <f>(1+7%)^'3_MODEL_main'!Q1</f>
        <v>1.7181861798319202</v>
      </c>
      <c r="R132" s="30">
        <f>(1+7%)^'3_MODEL_main'!R1</f>
        <v>1.8384592124201549</v>
      </c>
      <c r="S132" s="30">
        <f>(1+7%)^'3_MODEL_main'!S1</f>
        <v>1.9671513572895656</v>
      </c>
      <c r="T132" s="30">
        <f>(1+7%)^'3_MODEL_main'!T1</f>
        <v>2.1048519522998355</v>
      </c>
      <c r="U132" s="30">
        <f>(1+7%)^'3_MODEL_main'!U1</f>
        <v>2.2521915889608235</v>
      </c>
      <c r="V132" s="30">
        <f>(1+7%)^'3_MODEL_main'!V1</f>
        <v>2.4098450001880813</v>
      </c>
      <c r="W132" s="30">
        <f>(1+7%)^'3_MODEL_main'!W1</f>
        <v>2.5785341502012469</v>
      </c>
      <c r="X132" s="30">
        <f>(1+7%)^'3_MODEL_main'!X1</f>
        <v>2.7590315407153345</v>
      </c>
      <c r="Y132" s="30">
        <f>(1+7%)^'3_MODEL_main'!Y1</f>
        <v>2.9521637485654075</v>
      </c>
      <c r="Z132" s="30">
        <f>(1+7%)^'3_MODEL_main'!Z1</f>
        <v>3.1588152109649861</v>
      </c>
      <c r="AA132" s="30">
        <f>(1+7%)^'3_MODEL_main'!AA1</f>
        <v>3.3799322757325352</v>
      </c>
      <c r="AB132" s="30">
        <f>(1+7%)^'3_MODEL_main'!AB1</f>
        <v>3.6165275350338129</v>
      </c>
      <c r="AC132" s="30">
        <f>(1+7%)^'3_MODEL_main'!AC1</f>
        <v>3.8696844624861795</v>
      </c>
      <c r="AD132" s="30">
        <f>(1+7%)^'3_MODEL_main'!AD1</f>
        <v>4.1405623748602123</v>
      </c>
      <c r="AE132" s="30">
        <f>(1+7%)^'3_MODEL_main'!AE1</f>
        <v>4.4304017411004271</v>
      </c>
      <c r="AF132" s="30">
        <f>(1+7%)^'3_MODEL_main'!AF1</f>
        <v>4.740529862977457</v>
      </c>
      <c r="AG132" s="30">
        <f>(1+7%)^'3_MODEL_main'!AG1</f>
        <v>5.0723669533858793</v>
      </c>
      <c r="AH132" s="30">
        <f>(1+7%)^'3_MODEL_main'!AH1</f>
        <v>5.4274326401228912</v>
      </c>
    </row>
    <row r="133" spans="3:34" x14ac:dyDescent="0.3">
      <c r="D133" t="s">
        <v>95</v>
      </c>
      <c r="G133">
        <v>2023</v>
      </c>
    </row>
    <row r="135" spans="3:34" x14ac:dyDescent="0.3">
      <c r="C135" s="31" t="s">
        <v>393</v>
      </c>
    </row>
    <row r="136" spans="3:34" x14ac:dyDescent="0.3">
      <c r="D136" t="s">
        <v>394</v>
      </c>
      <c r="I136" s="85">
        <f>(1+3%)^'3_MODEL_main'!I$1</f>
        <v>1</v>
      </c>
      <c r="J136" s="85">
        <f>(1+3%)^'3_MODEL_main'!J$1</f>
        <v>1.03</v>
      </c>
      <c r="K136" s="85">
        <f>(1+3%)^'3_MODEL_main'!K$1</f>
        <v>1.0609</v>
      </c>
      <c r="L136" s="85">
        <f>(1+3%)^'3_MODEL_main'!L$1</f>
        <v>1.092727</v>
      </c>
      <c r="M136" s="85">
        <f>(1+3%)^'3_MODEL_main'!M$1</f>
        <v>1.1255088099999999</v>
      </c>
      <c r="N136" s="85">
        <f>(1+3%)^'3_MODEL_main'!N$1</f>
        <v>1.1592740742999998</v>
      </c>
      <c r="O136" s="85">
        <f>(1+3%)^'3_MODEL_main'!O$1</f>
        <v>1.1940522965289999</v>
      </c>
      <c r="P136" s="85">
        <f>(1+3%)^'3_MODEL_main'!P$1</f>
        <v>1.22987386542487</v>
      </c>
      <c r="Q136" s="85">
        <f>(1+3%)^'3_MODEL_main'!Q$1</f>
        <v>1.2667700813876159</v>
      </c>
      <c r="R136" s="85">
        <f>(1+3%)^'3_MODEL_main'!R$1</f>
        <v>1.3047731838292445</v>
      </c>
      <c r="S136" s="85">
        <f>(1+3%)^'3_MODEL_main'!S$1</f>
        <v>1.3439163793441218</v>
      </c>
      <c r="T136" s="85">
        <f>(1+3%)^'3_MODEL_main'!T$1</f>
        <v>1.3842338707244455</v>
      </c>
      <c r="U136" s="85">
        <f>(1+3%)^'3_MODEL_main'!U$1</f>
        <v>1.4257608868461786</v>
      </c>
      <c r="V136" s="85">
        <f>(1+3%)^'3_MODEL_main'!V$1</f>
        <v>1.4685337134515639</v>
      </c>
      <c r="W136" s="85">
        <f>(1+3%)^'3_MODEL_main'!W$1</f>
        <v>1.512589724855111</v>
      </c>
      <c r="X136" s="85">
        <f>(1+3%)^'3_MODEL_main'!X$1</f>
        <v>1.5579674166007644</v>
      </c>
      <c r="Y136" s="85">
        <f>(1+3%)^'3_MODEL_main'!Y$1</f>
        <v>1.6047064390987871</v>
      </c>
      <c r="Z136" s="85">
        <f>(1+3%)^'3_MODEL_main'!Z$1</f>
        <v>1.6528476322717507</v>
      </c>
      <c r="AA136" s="85">
        <f>(1+3%)^'3_MODEL_main'!AA$1</f>
        <v>1.7024330612399032</v>
      </c>
      <c r="AB136" s="85">
        <f>(1+3%)^'3_MODEL_main'!AB$1</f>
        <v>1.7535060530771003</v>
      </c>
      <c r="AC136" s="85">
        <f>(1+3%)^'3_MODEL_main'!AC$1</f>
        <v>1.8061112346694133</v>
      </c>
      <c r="AD136" s="85">
        <f>(1+3%)^'3_MODEL_main'!AD$1</f>
        <v>1.8602945717094954</v>
      </c>
      <c r="AE136" s="85">
        <f>(1+3%)^'3_MODEL_main'!AE$1</f>
        <v>1.9161034088607805</v>
      </c>
      <c r="AF136" s="85">
        <f>(1+3%)^'3_MODEL_main'!AF$1</f>
        <v>1.973586511126604</v>
      </c>
      <c r="AG136" s="85">
        <f>(1+3%)^'3_MODEL_main'!AG$1</f>
        <v>2.0327941064604018</v>
      </c>
      <c r="AH136" s="85">
        <f>(1+3%)^'3_MODEL_main'!AH$1</f>
        <v>2.0937779296542138</v>
      </c>
    </row>
  </sheetData>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8FEC8-18D5-4A65-A5AC-A40974D37549}">
  <dimension ref="A1:AH55"/>
  <sheetViews>
    <sheetView workbookViewId="0">
      <pane xSplit="3" ySplit="2" topLeftCell="D23" activePane="bottomRight" state="frozen"/>
      <selection pane="topRight" activeCell="D1" sqref="D1"/>
      <selection pane="bottomLeft" activeCell="A3" sqref="A3"/>
      <selection pane="bottomRight" activeCell="I46" sqref="I46"/>
    </sheetView>
    <sheetView workbookViewId="1"/>
  </sheetViews>
  <sheetFormatPr defaultRowHeight="14.4" x14ac:dyDescent="0.3"/>
  <cols>
    <col min="1" max="1" width="3.44140625" customWidth="1"/>
    <col min="2" max="2" width="5.88671875" customWidth="1"/>
    <col min="3" max="3" width="41.5546875" customWidth="1"/>
    <col min="4" max="4" width="12" bestFit="1" customWidth="1"/>
    <col min="5" max="5" width="24.109375" customWidth="1"/>
    <col min="6" max="6" width="13.6640625" customWidth="1"/>
    <col min="7" max="7" width="3.6640625" style="30" customWidth="1"/>
    <col min="8" max="33" width="13.6640625" customWidth="1"/>
    <col min="34" max="34" width="13.6640625" style="30" customWidth="1"/>
  </cols>
  <sheetData>
    <row r="1" spans="1:29" s="30" customFormat="1" x14ac:dyDescent="0.3">
      <c r="A1" s="31" t="s">
        <v>113</v>
      </c>
      <c r="H1" s="30">
        <v>-1</v>
      </c>
      <c r="I1" s="30">
        <v>0</v>
      </c>
      <c r="J1" s="30">
        <f t="shared" ref="J1:AC2" si="0">I1+1</f>
        <v>1</v>
      </c>
      <c r="K1" s="30">
        <f t="shared" si="0"/>
        <v>2</v>
      </c>
      <c r="L1" s="30">
        <f t="shared" si="0"/>
        <v>3</v>
      </c>
      <c r="M1" s="30">
        <f t="shared" si="0"/>
        <v>4</v>
      </c>
      <c r="N1" s="30">
        <f t="shared" si="0"/>
        <v>5</v>
      </c>
      <c r="O1" s="30">
        <f t="shared" si="0"/>
        <v>6</v>
      </c>
      <c r="P1" s="30">
        <f t="shared" si="0"/>
        <v>7</v>
      </c>
      <c r="Q1" s="30">
        <f t="shared" si="0"/>
        <v>8</v>
      </c>
      <c r="R1" s="30">
        <f t="shared" si="0"/>
        <v>9</v>
      </c>
      <c r="S1" s="30">
        <f t="shared" si="0"/>
        <v>10</v>
      </c>
      <c r="T1" s="30">
        <f t="shared" si="0"/>
        <v>11</v>
      </c>
      <c r="U1" s="30">
        <f t="shared" si="0"/>
        <v>12</v>
      </c>
      <c r="V1" s="30">
        <f t="shared" si="0"/>
        <v>13</v>
      </c>
      <c r="W1" s="30">
        <f t="shared" si="0"/>
        <v>14</v>
      </c>
      <c r="X1" s="30">
        <f t="shared" si="0"/>
        <v>15</v>
      </c>
      <c r="Y1" s="30">
        <f t="shared" si="0"/>
        <v>16</v>
      </c>
      <c r="Z1" s="30">
        <f t="shared" si="0"/>
        <v>17</v>
      </c>
      <c r="AA1" s="30">
        <f t="shared" si="0"/>
        <v>18</v>
      </c>
      <c r="AB1" s="30">
        <f t="shared" si="0"/>
        <v>19</v>
      </c>
      <c r="AC1" s="30">
        <f t="shared" si="0"/>
        <v>20</v>
      </c>
    </row>
    <row r="2" spans="1:29" s="31" customFormat="1" x14ac:dyDescent="0.3">
      <c r="D2" s="31" t="s">
        <v>136</v>
      </c>
      <c r="E2" s="31" t="s">
        <v>4</v>
      </c>
      <c r="F2" s="31" t="s">
        <v>222</v>
      </c>
      <c r="H2" s="31">
        <v>2022</v>
      </c>
      <c r="I2" s="31">
        <v>2023</v>
      </c>
      <c r="J2" s="31">
        <f>I2+1</f>
        <v>2024</v>
      </c>
      <c r="K2" s="31">
        <f t="shared" si="0"/>
        <v>2025</v>
      </c>
      <c r="L2" s="31">
        <f t="shared" si="0"/>
        <v>2026</v>
      </c>
      <c r="M2" s="31">
        <f t="shared" si="0"/>
        <v>2027</v>
      </c>
      <c r="N2" s="31">
        <f t="shared" si="0"/>
        <v>2028</v>
      </c>
      <c r="O2" s="31">
        <f t="shared" si="0"/>
        <v>2029</v>
      </c>
      <c r="P2" s="31">
        <f t="shared" si="0"/>
        <v>2030</v>
      </c>
      <c r="Q2" s="31">
        <f t="shared" si="0"/>
        <v>2031</v>
      </c>
      <c r="R2" s="31">
        <f t="shared" si="0"/>
        <v>2032</v>
      </c>
      <c r="S2" s="31">
        <f t="shared" si="0"/>
        <v>2033</v>
      </c>
      <c r="T2" s="31">
        <f t="shared" si="0"/>
        <v>2034</v>
      </c>
      <c r="U2" s="31">
        <f t="shared" si="0"/>
        <v>2035</v>
      </c>
      <c r="V2" s="31">
        <f t="shared" si="0"/>
        <v>2036</v>
      </c>
      <c r="W2" s="31">
        <f t="shared" si="0"/>
        <v>2037</v>
      </c>
      <c r="X2" s="31">
        <f t="shared" si="0"/>
        <v>2038</v>
      </c>
      <c r="Y2" s="31">
        <f t="shared" si="0"/>
        <v>2039</v>
      </c>
      <c r="Z2" s="31">
        <f t="shared" si="0"/>
        <v>2040</v>
      </c>
      <c r="AA2" s="31">
        <f t="shared" si="0"/>
        <v>2041</v>
      </c>
      <c r="AB2" s="31">
        <f t="shared" si="0"/>
        <v>2042</v>
      </c>
      <c r="AC2" s="31">
        <f t="shared" si="0"/>
        <v>2043</v>
      </c>
    </row>
    <row r="3" spans="1:29" s="12" customFormat="1" ht="15" customHeight="1" x14ac:dyDescent="0.3">
      <c r="B3" s="96" t="s">
        <v>102</v>
      </c>
      <c r="C3" s="12" t="s">
        <v>128</v>
      </c>
      <c r="D3" s="12">
        <v>18000000</v>
      </c>
      <c r="E3" s="56" t="s">
        <v>140</v>
      </c>
      <c r="F3" s="12">
        <f>SUM(H3:AC3)</f>
        <v>18000000</v>
      </c>
      <c r="I3" s="12">
        <v>3000000</v>
      </c>
      <c r="J3" s="40">
        <v>6000000</v>
      </c>
      <c r="K3" s="40">
        <f t="shared" ref="K3:K13" si="1">D3-J3-I3</f>
        <v>9000000</v>
      </c>
      <c r="L3" s="40"/>
    </row>
    <row r="4" spans="1:29" s="12" customFormat="1" x14ac:dyDescent="0.3">
      <c r="B4" s="96"/>
      <c r="C4" s="12" t="s">
        <v>175</v>
      </c>
      <c r="D4" s="12">
        <v>4680000</v>
      </c>
      <c r="E4" s="56" t="s">
        <v>141</v>
      </c>
      <c r="F4" s="12">
        <f t="shared" ref="F4:F16" si="2">SUM(H4:AC4)</f>
        <v>4680000</v>
      </c>
      <c r="J4" s="40">
        <f>D4/2</f>
        <v>2340000</v>
      </c>
      <c r="K4" s="40">
        <f t="shared" si="1"/>
        <v>2340000</v>
      </c>
      <c r="L4" s="40"/>
    </row>
    <row r="5" spans="1:29" s="12" customFormat="1" x14ac:dyDescent="0.3">
      <c r="B5" s="96"/>
      <c r="C5" s="56" t="s">
        <v>184</v>
      </c>
      <c r="D5" s="12">
        <v>1540000</v>
      </c>
      <c r="E5" s="56" t="s">
        <v>142</v>
      </c>
      <c r="F5" s="12">
        <f t="shared" si="2"/>
        <v>1540000</v>
      </c>
      <c r="I5" s="12">
        <f>D5/5*2*0.3</f>
        <v>184800</v>
      </c>
      <c r="J5" s="40">
        <f>D5/5*2*0.3+D5/5*2*0.7</f>
        <v>616000</v>
      </c>
      <c r="K5" s="40">
        <f t="shared" si="1"/>
        <v>739200</v>
      </c>
      <c r="L5" s="40"/>
    </row>
    <row r="6" spans="1:29" s="12" customFormat="1" x14ac:dyDescent="0.3">
      <c r="B6" s="96"/>
      <c r="C6" s="56" t="s">
        <v>129</v>
      </c>
      <c r="D6" s="12">
        <v>500000</v>
      </c>
      <c r="E6" s="56" t="s">
        <v>141</v>
      </c>
      <c r="F6" s="12">
        <f t="shared" si="2"/>
        <v>500000</v>
      </c>
      <c r="J6" s="40">
        <f>D6/5*3</f>
        <v>300000</v>
      </c>
      <c r="K6" s="40">
        <f t="shared" si="1"/>
        <v>200000</v>
      </c>
      <c r="L6" s="40"/>
    </row>
    <row r="7" spans="1:29" s="12" customFormat="1" x14ac:dyDescent="0.3">
      <c r="B7" s="96"/>
      <c r="C7" s="56" t="s">
        <v>130</v>
      </c>
      <c r="D7" s="12">
        <v>190000</v>
      </c>
      <c r="E7" s="56" t="s">
        <v>141</v>
      </c>
      <c r="F7" s="12">
        <f t="shared" si="2"/>
        <v>190000</v>
      </c>
      <c r="J7" s="40">
        <f>D7/5*3</f>
        <v>114000</v>
      </c>
      <c r="K7" s="40">
        <f t="shared" si="1"/>
        <v>76000</v>
      </c>
      <c r="L7" s="40"/>
    </row>
    <row r="8" spans="1:29" s="12" customFormat="1" x14ac:dyDescent="0.3">
      <c r="B8" s="96"/>
      <c r="C8" s="56" t="s">
        <v>131</v>
      </c>
      <c r="D8" s="12">
        <v>7000000</v>
      </c>
      <c r="E8" s="56" t="s">
        <v>143</v>
      </c>
      <c r="F8" s="12">
        <f t="shared" si="2"/>
        <v>7000000</v>
      </c>
      <c r="I8" s="12">
        <f>D8/5*3</f>
        <v>4200000</v>
      </c>
      <c r="J8" s="40">
        <f>D8-I8</f>
        <v>2800000</v>
      </c>
      <c r="K8" s="40">
        <f t="shared" si="1"/>
        <v>0</v>
      </c>
      <c r="L8" s="40"/>
    </row>
    <row r="9" spans="1:29" s="12" customFormat="1" x14ac:dyDescent="0.3">
      <c r="B9" s="96"/>
      <c r="C9" s="56" t="s">
        <v>185</v>
      </c>
      <c r="D9" s="12">
        <v>4000000</v>
      </c>
      <c r="E9" s="56" t="s">
        <v>143</v>
      </c>
      <c r="F9" s="12">
        <f t="shared" si="2"/>
        <v>4000000</v>
      </c>
      <c r="I9" s="12">
        <f>D9/10</f>
        <v>400000</v>
      </c>
      <c r="J9" s="40">
        <f>D9/10*5</f>
        <v>2000000</v>
      </c>
      <c r="K9" s="40">
        <f t="shared" si="1"/>
        <v>1600000</v>
      </c>
      <c r="L9" s="40"/>
    </row>
    <row r="10" spans="1:29" s="12" customFormat="1" x14ac:dyDescent="0.3">
      <c r="B10" s="96"/>
      <c r="C10" s="56" t="s">
        <v>186</v>
      </c>
      <c r="D10" s="12">
        <v>650000</v>
      </c>
      <c r="E10" s="56" t="s">
        <v>143</v>
      </c>
      <c r="F10" s="12">
        <f t="shared" si="2"/>
        <v>650000</v>
      </c>
      <c r="I10" s="12">
        <f>D10/10</f>
        <v>65000</v>
      </c>
      <c r="J10" s="40">
        <f>D10/10*5</f>
        <v>325000</v>
      </c>
      <c r="K10" s="40">
        <f t="shared" si="1"/>
        <v>260000</v>
      </c>
      <c r="L10" s="40"/>
    </row>
    <row r="11" spans="1:29" s="12" customFormat="1" x14ac:dyDescent="0.3">
      <c r="B11" s="96"/>
      <c r="C11" s="56" t="s">
        <v>187</v>
      </c>
      <c r="D11" s="12">
        <v>500000</v>
      </c>
      <c r="E11" s="56" t="s">
        <v>143</v>
      </c>
      <c r="F11" s="12">
        <f t="shared" si="2"/>
        <v>500000</v>
      </c>
      <c r="I11" s="12">
        <f>D11/10</f>
        <v>50000</v>
      </c>
      <c r="J11" s="40">
        <f>D11/10*5</f>
        <v>250000</v>
      </c>
      <c r="K11" s="40">
        <f t="shared" si="1"/>
        <v>200000</v>
      </c>
      <c r="L11" s="40"/>
    </row>
    <row r="12" spans="1:29" s="12" customFormat="1" x14ac:dyDescent="0.3">
      <c r="B12" s="96"/>
      <c r="C12" s="56" t="s">
        <v>188</v>
      </c>
      <c r="D12" s="12">
        <v>700000</v>
      </c>
      <c r="E12" s="56" t="s">
        <v>143</v>
      </c>
      <c r="F12" s="12">
        <f t="shared" si="2"/>
        <v>700000</v>
      </c>
      <c r="J12" s="40"/>
      <c r="K12" s="40">
        <f t="shared" si="1"/>
        <v>700000</v>
      </c>
      <c r="L12" s="40"/>
    </row>
    <row r="13" spans="1:29" s="12" customFormat="1" x14ac:dyDescent="0.3">
      <c r="B13" s="96"/>
      <c r="C13" s="56" t="s">
        <v>133</v>
      </c>
      <c r="D13" s="12">
        <v>500000</v>
      </c>
      <c r="E13" s="56" t="s">
        <v>143</v>
      </c>
      <c r="F13" s="12">
        <f t="shared" si="2"/>
        <v>500000</v>
      </c>
      <c r="I13" s="12">
        <f>D13/10*2</f>
        <v>100000</v>
      </c>
      <c r="J13" s="40">
        <f>D13/10*4</f>
        <v>200000</v>
      </c>
      <c r="K13" s="40">
        <f t="shared" si="1"/>
        <v>200000</v>
      </c>
      <c r="L13" s="40"/>
    </row>
    <row r="14" spans="1:29" s="12" customFormat="1" x14ac:dyDescent="0.3">
      <c r="B14" s="96"/>
      <c r="C14" s="12" t="s">
        <v>127</v>
      </c>
      <c r="D14" s="12">
        <v>1000000</v>
      </c>
      <c r="F14" s="12">
        <f t="shared" si="2"/>
        <v>1000000</v>
      </c>
      <c r="I14" s="12">
        <f>D14/4</f>
        <v>250000</v>
      </c>
      <c r="J14" s="12">
        <f>I14</f>
        <v>250000</v>
      </c>
      <c r="K14" s="12">
        <f>J14</f>
        <v>250000</v>
      </c>
      <c r="L14" s="12">
        <f>K14</f>
        <v>250000</v>
      </c>
    </row>
    <row r="15" spans="1:29" s="12" customFormat="1" x14ac:dyDescent="0.3">
      <c r="B15" s="96"/>
      <c r="C15" s="12" t="s">
        <v>137</v>
      </c>
      <c r="D15" s="12">
        <v>7426000</v>
      </c>
      <c r="F15" s="12">
        <f t="shared" si="2"/>
        <v>7426000</v>
      </c>
      <c r="I15" s="12">
        <f>SUM(I3:I13)/SUM($I3:$L13)*$D15</f>
        <v>1552705.5619445897</v>
      </c>
      <c r="J15" s="12">
        <f>SUM(J3:J13)/SUM($I3:$L13)*$D15</f>
        <v>2900720.5959226345</v>
      </c>
      <c r="K15" s="12">
        <f>SUM(K3:K13)/SUM($I3:$L13)*$D15</f>
        <v>2972573.8421327756</v>
      </c>
    </row>
    <row r="16" spans="1:29" s="15" customFormat="1" x14ac:dyDescent="0.3">
      <c r="C16" s="15" t="s">
        <v>7</v>
      </c>
      <c r="D16" s="15" t="s">
        <v>13</v>
      </c>
      <c r="F16" s="15">
        <f t="shared" si="2"/>
        <v>46686000</v>
      </c>
      <c r="I16" s="15">
        <f t="shared" ref="I16:AC16" si="3">SUM(I3:I15)</f>
        <v>9802505.561944589</v>
      </c>
      <c r="J16" s="15">
        <f t="shared" si="3"/>
        <v>18095720.595922634</v>
      </c>
      <c r="K16" s="15">
        <f t="shared" si="3"/>
        <v>18537773.842132777</v>
      </c>
      <c r="L16" s="15">
        <f t="shared" si="3"/>
        <v>250000</v>
      </c>
      <c r="M16" s="15">
        <f t="shared" si="3"/>
        <v>0</v>
      </c>
      <c r="N16" s="15">
        <f t="shared" si="3"/>
        <v>0</v>
      </c>
      <c r="O16" s="15">
        <f t="shared" si="3"/>
        <v>0</v>
      </c>
      <c r="P16" s="15">
        <f t="shared" si="3"/>
        <v>0</v>
      </c>
      <c r="Q16" s="15">
        <f t="shared" si="3"/>
        <v>0</v>
      </c>
      <c r="R16" s="15">
        <f t="shared" si="3"/>
        <v>0</v>
      </c>
      <c r="S16" s="15">
        <f t="shared" si="3"/>
        <v>0</v>
      </c>
      <c r="T16" s="15">
        <f t="shared" si="3"/>
        <v>0</v>
      </c>
      <c r="U16" s="15">
        <f t="shared" si="3"/>
        <v>0</v>
      </c>
      <c r="V16" s="15">
        <f t="shared" si="3"/>
        <v>0</v>
      </c>
      <c r="W16" s="15">
        <f t="shared" si="3"/>
        <v>0</v>
      </c>
      <c r="X16" s="15">
        <f t="shared" si="3"/>
        <v>0</v>
      </c>
      <c r="Y16" s="15">
        <f t="shared" si="3"/>
        <v>0</v>
      </c>
      <c r="Z16" s="15">
        <f t="shared" si="3"/>
        <v>0</v>
      </c>
      <c r="AA16" s="15">
        <f t="shared" si="3"/>
        <v>0</v>
      </c>
      <c r="AB16" s="15">
        <f t="shared" si="3"/>
        <v>0</v>
      </c>
      <c r="AC16" s="15">
        <f t="shared" si="3"/>
        <v>0</v>
      </c>
    </row>
    <row r="17" spans="2:34" s="25" customFormat="1" x14ac:dyDescent="0.3">
      <c r="C17" s="25" t="s">
        <v>96</v>
      </c>
      <c r="D17" s="25" t="s">
        <v>13</v>
      </c>
      <c r="F17" s="26">
        <f>SUM(H17:AG17)</f>
        <v>43110078.048260488</v>
      </c>
      <c r="G17" s="26"/>
      <c r="H17" s="26">
        <f>H16/'1_MODEL_assumptions'!H$132</f>
        <v>0</v>
      </c>
      <c r="I17" s="26">
        <f>I16/'1_MODEL_assumptions'!I$132</f>
        <v>9802505.561944589</v>
      </c>
      <c r="J17" s="26">
        <f>J16/'1_MODEL_assumptions'!J$132</f>
        <v>16911888.40740433</v>
      </c>
      <c r="K17" s="26">
        <f>K16/'1_MODEL_assumptions'!K$132</f>
        <v>16191609.609688861</v>
      </c>
      <c r="L17" s="26">
        <f>L16/'1_MODEL_assumptions'!L$132</f>
        <v>204074.46922271297</v>
      </c>
      <c r="M17" s="26">
        <f>M16/'1_MODEL_assumptions'!M$132</f>
        <v>0</v>
      </c>
      <c r="N17" s="26">
        <f>N16/'1_MODEL_assumptions'!N$132</f>
        <v>0</v>
      </c>
      <c r="O17" s="26">
        <f>O16/'1_MODEL_assumptions'!O$132</f>
        <v>0</v>
      </c>
      <c r="P17" s="26">
        <f>P16/'1_MODEL_assumptions'!P$132</f>
        <v>0</v>
      </c>
      <c r="Q17" s="26">
        <f>Q16/'1_MODEL_assumptions'!Q$132</f>
        <v>0</v>
      </c>
      <c r="R17" s="26">
        <f>R16/'1_MODEL_assumptions'!R$132</f>
        <v>0</v>
      </c>
      <c r="S17" s="26">
        <f>S16/'1_MODEL_assumptions'!S$132</f>
        <v>0</v>
      </c>
      <c r="T17" s="26">
        <f>T16/'1_MODEL_assumptions'!T$132</f>
        <v>0</v>
      </c>
      <c r="U17" s="26">
        <f>U16/'1_MODEL_assumptions'!U$132</f>
        <v>0</v>
      </c>
      <c r="V17" s="26">
        <f>V16/'1_MODEL_assumptions'!V$132</f>
        <v>0</v>
      </c>
      <c r="W17" s="26">
        <f>W16/'1_MODEL_assumptions'!W$132</f>
        <v>0</v>
      </c>
      <c r="X17" s="26">
        <f>X16/'1_MODEL_assumptions'!X$132</f>
        <v>0</v>
      </c>
      <c r="Y17" s="26">
        <f>Y16/'1_MODEL_assumptions'!Y$132</f>
        <v>0</v>
      </c>
      <c r="Z17" s="26">
        <f>Z16/'1_MODEL_assumptions'!Z$132</f>
        <v>0</v>
      </c>
      <c r="AA17" s="26">
        <f>AA16/'1_MODEL_assumptions'!AA$132</f>
        <v>0</v>
      </c>
      <c r="AB17" s="26">
        <f>AB16/'1_MODEL_assumptions'!AB$132</f>
        <v>0</v>
      </c>
      <c r="AC17" s="26">
        <f>AC16/'1_MODEL_assumptions'!AC$132</f>
        <v>0</v>
      </c>
      <c r="AD17" s="26"/>
      <c r="AE17" s="26"/>
      <c r="AF17" s="26"/>
      <c r="AG17" s="26"/>
      <c r="AH17" s="26"/>
    </row>
    <row r="19" spans="2:34" ht="15" customHeight="1" x14ac:dyDescent="0.3">
      <c r="B19" s="97" t="s">
        <v>111</v>
      </c>
      <c r="C19" t="s">
        <v>126</v>
      </c>
      <c r="D19" s="12">
        <v>150000</v>
      </c>
      <c r="F19" s="12">
        <f t="shared" ref="F19:F28" si="4">SUM(I19:AG19)</f>
        <v>150000</v>
      </c>
      <c r="G19" s="12"/>
      <c r="I19" s="12">
        <f>D19/4</f>
        <v>37500</v>
      </c>
      <c r="J19" s="12">
        <f>I19</f>
        <v>37500</v>
      </c>
      <c r="K19" s="12">
        <f>J19</f>
        <v>37500</v>
      </c>
      <c r="L19" s="12">
        <f>K19</f>
        <v>37500</v>
      </c>
      <c r="M19" s="12">
        <v>0</v>
      </c>
      <c r="N19" s="12">
        <f t="shared" ref="N19:AC19" si="5">M19</f>
        <v>0</v>
      </c>
      <c r="O19" s="12">
        <f t="shared" si="5"/>
        <v>0</v>
      </c>
      <c r="P19" s="12">
        <f t="shared" si="5"/>
        <v>0</v>
      </c>
      <c r="Q19" s="12">
        <f t="shared" si="5"/>
        <v>0</v>
      </c>
      <c r="R19" s="12">
        <f t="shared" si="5"/>
        <v>0</v>
      </c>
      <c r="S19" s="12">
        <f t="shared" si="5"/>
        <v>0</v>
      </c>
      <c r="T19" s="12">
        <f t="shared" si="5"/>
        <v>0</v>
      </c>
      <c r="U19" s="12">
        <f t="shared" si="5"/>
        <v>0</v>
      </c>
      <c r="V19" s="12">
        <f t="shared" si="5"/>
        <v>0</v>
      </c>
      <c r="W19" s="12">
        <f t="shared" si="5"/>
        <v>0</v>
      </c>
      <c r="X19" s="12">
        <f t="shared" si="5"/>
        <v>0</v>
      </c>
      <c r="Y19" s="12">
        <f t="shared" si="5"/>
        <v>0</v>
      </c>
      <c r="Z19" s="12">
        <f t="shared" si="5"/>
        <v>0</v>
      </c>
      <c r="AA19" s="12">
        <f t="shared" si="5"/>
        <v>0</v>
      </c>
      <c r="AB19" s="12">
        <f t="shared" si="5"/>
        <v>0</v>
      </c>
      <c r="AC19" s="12">
        <f t="shared" si="5"/>
        <v>0</v>
      </c>
      <c r="AD19" s="12"/>
      <c r="AE19" s="12"/>
      <c r="AF19" s="12"/>
      <c r="AG19" s="12"/>
      <c r="AH19" s="12"/>
    </row>
    <row r="20" spans="2:34" x14ac:dyDescent="0.3">
      <c r="B20" s="97"/>
      <c r="C20" s="30" t="s">
        <v>134</v>
      </c>
      <c r="D20" s="12">
        <v>100000</v>
      </c>
      <c r="E20" s="39"/>
      <c r="F20" s="12">
        <f t="shared" si="4"/>
        <v>100000</v>
      </c>
      <c r="G20" s="12"/>
      <c r="I20" s="12">
        <f>D20/13*3</f>
        <v>23076.923076923078</v>
      </c>
      <c r="J20" s="12">
        <f>D20/13*4</f>
        <v>30769.23076923077</v>
      </c>
      <c r="K20" s="12">
        <f>J20</f>
        <v>30769.23076923077</v>
      </c>
      <c r="L20" s="12">
        <f>D20-SUM(I20:K20)</f>
        <v>15384.61538461539</v>
      </c>
      <c r="M20" s="12"/>
      <c r="N20" s="12">
        <f t="shared" ref="N20:AC20" si="6">M20</f>
        <v>0</v>
      </c>
      <c r="O20" s="12">
        <f t="shared" si="6"/>
        <v>0</v>
      </c>
      <c r="P20" s="12">
        <f t="shared" si="6"/>
        <v>0</v>
      </c>
      <c r="Q20" s="12">
        <f t="shared" si="6"/>
        <v>0</v>
      </c>
      <c r="R20" s="12">
        <f t="shared" si="6"/>
        <v>0</v>
      </c>
      <c r="S20" s="12">
        <f t="shared" si="6"/>
        <v>0</v>
      </c>
      <c r="T20" s="12">
        <f t="shared" si="6"/>
        <v>0</v>
      </c>
      <c r="U20" s="12">
        <f t="shared" si="6"/>
        <v>0</v>
      </c>
      <c r="V20" s="12">
        <f t="shared" si="6"/>
        <v>0</v>
      </c>
      <c r="W20" s="12">
        <f t="shared" si="6"/>
        <v>0</v>
      </c>
      <c r="X20" s="12">
        <f t="shared" si="6"/>
        <v>0</v>
      </c>
      <c r="Y20" s="12">
        <f t="shared" si="6"/>
        <v>0</v>
      </c>
      <c r="Z20" s="12">
        <f t="shared" si="6"/>
        <v>0</v>
      </c>
      <c r="AA20" s="12">
        <f t="shared" si="6"/>
        <v>0</v>
      </c>
      <c r="AB20" s="12">
        <f t="shared" si="6"/>
        <v>0</v>
      </c>
      <c r="AC20" s="12">
        <f t="shared" si="6"/>
        <v>0</v>
      </c>
      <c r="AD20" s="12"/>
      <c r="AE20" s="12"/>
      <c r="AF20" s="12"/>
      <c r="AG20" s="12"/>
      <c r="AH20" s="12"/>
    </row>
    <row r="21" spans="2:34" x14ac:dyDescent="0.3">
      <c r="B21" s="97"/>
      <c r="C21" s="30" t="s">
        <v>135</v>
      </c>
      <c r="D21" s="12">
        <v>100000</v>
      </c>
      <c r="E21" s="39"/>
      <c r="F21" s="12">
        <f t="shared" si="4"/>
        <v>100000</v>
      </c>
      <c r="G21" s="12"/>
      <c r="I21" s="12">
        <f>D21/13*3</f>
        <v>23076.923076923078</v>
      </c>
      <c r="J21" s="12">
        <f>D21/13*4</f>
        <v>30769.23076923077</v>
      </c>
      <c r="K21" s="12">
        <f>J21</f>
        <v>30769.23076923077</v>
      </c>
      <c r="L21" s="12">
        <f>D21-SUM(I21:K21)</f>
        <v>15384.61538461539</v>
      </c>
      <c r="M21" s="12"/>
      <c r="N21" s="12">
        <f t="shared" ref="N21:AC21" si="7">M21</f>
        <v>0</v>
      </c>
      <c r="O21" s="12">
        <f t="shared" si="7"/>
        <v>0</v>
      </c>
      <c r="P21" s="12">
        <f t="shared" si="7"/>
        <v>0</v>
      </c>
      <c r="Q21" s="12">
        <f t="shared" si="7"/>
        <v>0</v>
      </c>
      <c r="R21" s="12">
        <f t="shared" si="7"/>
        <v>0</v>
      </c>
      <c r="S21" s="12">
        <f t="shared" si="7"/>
        <v>0</v>
      </c>
      <c r="T21" s="12">
        <f t="shared" si="7"/>
        <v>0</v>
      </c>
      <c r="U21" s="12">
        <f t="shared" si="7"/>
        <v>0</v>
      </c>
      <c r="V21" s="12">
        <f t="shared" si="7"/>
        <v>0</v>
      </c>
      <c r="W21" s="12">
        <f t="shared" si="7"/>
        <v>0</v>
      </c>
      <c r="X21" s="12">
        <f t="shared" si="7"/>
        <v>0</v>
      </c>
      <c r="Y21" s="12">
        <f t="shared" si="7"/>
        <v>0</v>
      </c>
      <c r="Z21" s="12">
        <f t="shared" si="7"/>
        <v>0</v>
      </c>
      <c r="AA21" s="12">
        <f t="shared" si="7"/>
        <v>0</v>
      </c>
      <c r="AB21" s="12">
        <f t="shared" si="7"/>
        <v>0</v>
      </c>
      <c r="AC21" s="12">
        <f t="shared" si="7"/>
        <v>0</v>
      </c>
      <c r="AD21" s="12"/>
      <c r="AE21" s="12"/>
      <c r="AF21" s="12"/>
      <c r="AG21" s="12"/>
      <c r="AH21" s="12"/>
    </row>
    <row r="22" spans="2:34" x14ac:dyDescent="0.3">
      <c r="B22" s="97"/>
      <c r="C22" t="s">
        <v>211</v>
      </c>
      <c r="D22" s="12" t="s">
        <v>221</v>
      </c>
      <c r="E22" s="39"/>
      <c r="F22" s="12">
        <f t="shared" si="4"/>
        <v>253579851.19999993</v>
      </c>
      <c r="G22" s="12"/>
      <c r="I22" s="12">
        <f>'1_MODEL_assumptions'!$G$52*'7_PARAMS'!$D$15*(SUM('1_MODEL_assumptions'!I$57,'1_MODEL_assumptions'!I$58,'1_MODEL_assumptions'!I$62))</f>
        <v>15848740.700000001</v>
      </c>
      <c r="J22" s="12">
        <f>'1_MODEL_assumptions'!$G$52*'7_PARAMS'!$D$15*(SUM('1_MODEL_assumptions'!J$57,'1_MODEL_assumptions'!J$58,'1_MODEL_assumptions'!J$62))</f>
        <v>14314991.6</v>
      </c>
      <c r="K22" s="12">
        <f>'1_MODEL_assumptions'!$G$52*'7_PARAMS'!$D$15*(SUM('1_MODEL_assumptions'!K$57,'1_MODEL_assumptions'!K$58,'1_MODEL_assumptions'!K$62))</f>
        <v>11758743.1</v>
      </c>
      <c r="L22" s="12">
        <f>'1_MODEL_assumptions'!$G$52*'7_PARAMS'!$D$15*(SUM('1_MODEL_assumptions'!L$57,'1_MODEL_assumptions'!L$58,'1_MODEL_assumptions'!L$62))</f>
        <v>11758743.1</v>
      </c>
      <c r="M22" s="12">
        <f>'1_MODEL_assumptions'!$G$52*'7_PARAMS'!$D$15*(SUM('1_MODEL_assumptions'!M$57,'1_MODEL_assumptions'!M$58,'1_MODEL_assumptions'!M$62))</f>
        <v>11758743.1</v>
      </c>
      <c r="N22" s="12">
        <f>'1_MODEL_assumptions'!$G$52*'7_PARAMS'!$D$15*(SUM('1_MODEL_assumptions'!N$57,'1_MODEL_assumptions'!N$58,'1_MODEL_assumptions'!N$62))</f>
        <v>11758743.1</v>
      </c>
      <c r="O22" s="12">
        <f>'1_MODEL_assumptions'!$G$52*'7_PARAMS'!$D$15*(SUM('1_MODEL_assumptions'!O$57,'1_MODEL_assumptions'!O$58,'1_MODEL_assumptions'!O$62))</f>
        <v>11758743.1</v>
      </c>
      <c r="P22" s="12">
        <f>'1_MODEL_assumptions'!$G$52*'7_PARAMS'!$D$15*(SUM('1_MODEL_assumptions'!P$57,'1_MODEL_assumptions'!P$58,'1_MODEL_assumptions'!P$62))</f>
        <v>11758743.1</v>
      </c>
      <c r="Q22" s="12">
        <f>'1_MODEL_assumptions'!$G$52*'7_PARAMS'!$D$15*(SUM('1_MODEL_assumptions'!Q$57,'1_MODEL_assumptions'!Q$58,'1_MODEL_assumptions'!Q$62))</f>
        <v>11758743.1</v>
      </c>
      <c r="R22" s="12">
        <f>'1_MODEL_assumptions'!$G$52*'7_PARAMS'!$D$15*(SUM('1_MODEL_assumptions'!R$57,'1_MODEL_assumptions'!R$58,'1_MODEL_assumptions'!R$62))</f>
        <v>11758743.1</v>
      </c>
      <c r="S22" s="12">
        <f>'1_MODEL_assumptions'!$G$52*'7_PARAMS'!$D$15*(SUM('1_MODEL_assumptions'!S$57,'1_MODEL_assumptions'!S$58,'1_MODEL_assumptions'!S$62))</f>
        <v>11758743.1</v>
      </c>
      <c r="T22" s="12">
        <f>'1_MODEL_assumptions'!$G$52*'7_PARAMS'!$D$15*(SUM('1_MODEL_assumptions'!T$57,'1_MODEL_assumptions'!T$58,'1_MODEL_assumptions'!T$62))</f>
        <v>11758743.1</v>
      </c>
      <c r="U22" s="12">
        <f>'1_MODEL_assumptions'!$G$52*'7_PARAMS'!$D$15*(SUM('1_MODEL_assumptions'!U$57,'1_MODEL_assumptions'!U$58,'1_MODEL_assumptions'!U$62))</f>
        <v>11758743.1</v>
      </c>
      <c r="V22" s="12">
        <f>'1_MODEL_assumptions'!$G$52*'7_PARAMS'!$D$15*(SUM('1_MODEL_assumptions'!V$57,'1_MODEL_assumptions'!V$58,'1_MODEL_assumptions'!V$62))</f>
        <v>11758743.1</v>
      </c>
      <c r="W22" s="12">
        <f>'1_MODEL_assumptions'!$G$52*'7_PARAMS'!$D$15*(SUM('1_MODEL_assumptions'!W$57,'1_MODEL_assumptions'!W$58,'1_MODEL_assumptions'!W$62))</f>
        <v>11758743.1</v>
      </c>
      <c r="X22" s="12">
        <f>'1_MODEL_assumptions'!$G$52*'7_PARAMS'!$D$15*(SUM('1_MODEL_assumptions'!X$57,'1_MODEL_assumptions'!X$58,'1_MODEL_assumptions'!X$62))</f>
        <v>11758743.1</v>
      </c>
      <c r="Y22" s="12">
        <f>'1_MODEL_assumptions'!$G$52*'7_PARAMS'!$D$15*(SUM('1_MODEL_assumptions'!Y$57,'1_MODEL_assumptions'!Y$58,'1_MODEL_assumptions'!Y$62))</f>
        <v>11758743.1</v>
      </c>
      <c r="Z22" s="12">
        <f>'1_MODEL_assumptions'!$G$52*'7_PARAMS'!$D$15*(SUM('1_MODEL_assumptions'!Z$57,'1_MODEL_assumptions'!Z$58,'1_MODEL_assumptions'!Z$62))</f>
        <v>11758743.1</v>
      </c>
      <c r="AA22" s="12">
        <f>'1_MODEL_assumptions'!$G$52*'7_PARAMS'!$D$15*(SUM('1_MODEL_assumptions'!AA$57,'1_MODEL_assumptions'!AA$58,'1_MODEL_assumptions'!AA$62))</f>
        <v>11758743.1</v>
      </c>
      <c r="AB22" s="12">
        <f>'1_MODEL_assumptions'!$G$52*'7_PARAMS'!$D$15*(SUM('1_MODEL_assumptions'!AB$57,'1_MODEL_assumptions'!AB$58,'1_MODEL_assumptions'!AB$62))</f>
        <v>11758743.1</v>
      </c>
      <c r="AC22" s="12">
        <f>'1_MODEL_assumptions'!$G$52*'7_PARAMS'!$D$15*(SUM('1_MODEL_assumptions'!AC$57,'1_MODEL_assumptions'!AC$58,'1_MODEL_assumptions'!AC$62))</f>
        <v>11758743.1</v>
      </c>
      <c r="AD22" s="12"/>
      <c r="AE22" s="12"/>
      <c r="AF22" s="12"/>
      <c r="AG22" s="12"/>
      <c r="AH22" s="12"/>
    </row>
    <row r="23" spans="2:34" s="30" customFormat="1" x14ac:dyDescent="0.3">
      <c r="B23" s="97"/>
      <c r="C23" s="30" t="s">
        <v>212</v>
      </c>
      <c r="D23" s="12" t="s">
        <v>221</v>
      </c>
      <c r="E23" s="39"/>
      <c r="F23" s="12">
        <f t="shared" si="4"/>
        <v>48402900</v>
      </c>
      <c r="G23" s="12"/>
      <c r="I23" s="12">
        <f>'1_MODEL_assumptions'!$G$53*'7_PARAMS'!$D$15*(SUM('1_MODEL_assumptions'!I60:I61))</f>
        <v>2304900</v>
      </c>
      <c r="J23" s="12">
        <f>'1_MODEL_assumptions'!$G$53*'7_PARAMS'!$D$15*(SUM('1_MODEL_assumptions'!J60:J61))</f>
        <v>2304900</v>
      </c>
      <c r="K23" s="12">
        <f>'1_MODEL_assumptions'!$G$53*'7_PARAMS'!$D$15*(SUM('1_MODEL_assumptions'!K60:K61))</f>
        <v>2304900</v>
      </c>
      <c r="L23" s="12">
        <f>'1_MODEL_assumptions'!$G$53*'7_PARAMS'!$D$15*(SUM('1_MODEL_assumptions'!L60:L61))</f>
        <v>2304900</v>
      </c>
      <c r="M23" s="12">
        <f>'1_MODEL_assumptions'!$G$53*'7_PARAMS'!$D$15*(SUM('1_MODEL_assumptions'!M60:M61))</f>
        <v>2304900</v>
      </c>
      <c r="N23" s="12">
        <f>'1_MODEL_assumptions'!$G$53*'7_PARAMS'!$D$15*(SUM('1_MODEL_assumptions'!N60:N61))</f>
        <v>2304900</v>
      </c>
      <c r="O23" s="12">
        <f>'1_MODEL_assumptions'!$G$53*'7_PARAMS'!$D$15*(SUM('1_MODEL_assumptions'!O60:O61))</f>
        <v>2304900</v>
      </c>
      <c r="P23" s="12">
        <f>'1_MODEL_assumptions'!$G$53*'7_PARAMS'!$D$15*(SUM('1_MODEL_assumptions'!P60:P61))</f>
        <v>2304900</v>
      </c>
      <c r="Q23" s="12">
        <f>'1_MODEL_assumptions'!$G$53*'7_PARAMS'!$D$15*(SUM('1_MODEL_assumptions'!Q60:Q61))</f>
        <v>2304900</v>
      </c>
      <c r="R23" s="12">
        <f>'1_MODEL_assumptions'!$G$53*'7_PARAMS'!$D$15*(SUM('1_MODEL_assumptions'!R60:R61))</f>
        <v>2304900</v>
      </c>
      <c r="S23" s="12">
        <f>'1_MODEL_assumptions'!$G$53*'7_PARAMS'!$D$15*(SUM('1_MODEL_assumptions'!S60:S61))</f>
        <v>2304900</v>
      </c>
      <c r="T23" s="12">
        <f>'1_MODEL_assumptions'!$G$53*'7_PARAMS'!$D$15*(SUM('1_MODEL_assumptions'!T60:T61))</f>
        <v>2304900</v>
      </c>
      <c r="U23" s="12">
        <f>'1_MODEL_assumptions'!$G$53*'7_PARAMS'!$D$15*(SUM('1_MODEL_assumptions'!U60:U61))</f>
        <v>2304900</v>
      </c>
      <c r="V23" s="12">
        <f>'1_MODEL_assumptions'!$G$53*'7_PARAMS'!$D$15*(SUM('1_MODEL_assumptions'!V60:V61))</f>
        <v>2304900</v>
      </c>
      <c r="W23" s="12">
        <f>'1_MODEL_assumptions'!$G$53*'7_PARAMS'!$D$15*(SUM('1_MODEL_assumptions'!W60:W61))</f>
        <v>2304900</v>
      </c>
      <c r="X23" s="12">
        <f>'1_MODEL_assumptions'!$G$53*'7_PARAMS'!$D$15*(SUM('1_MODEL_assumptions'!X60:X61))</f>
        <v>2304900</v>
      </c>
      <c r="Y23" s="12">
        <f>'1_MODEL_assumptions'!$G$53*'7_PARAMS'!$D$15*(SUM('1_MODEL_assumptions'!Y60:Y61))</f>
        <v>2304900</v>
      </c>
      <c r="Z23" s="12">
        <f>'1_MODEL_assumptions'!$G$53*'7_PARAMS'!$D$15*(SUM('1_MODEL_assumptions'!Z60:Z61))</f>
        <v>2304900</v>
      </c>
      <c r="AA23" s="12">
        <f>'1_MODEL_assumptions'!$G$53*'7_PARAMS'!$D$15*(SUM('1_MODEL_assumptions'!AA60:AA61))</f>
        <v>2304900</v>
      </c>
      <c r="AB23" s="12">
        <f>'1_MODEL_assumptions'!$G$53*'7_PARAMS'!$D$15*(SUM('1_MODEL_assumptions'!AB60:AB61))</f>
        <v>2304900</v>
      </c>
      <c r="AC23" s="12">
        <f>'1_MODEL_assumptions'!$G$53*'7_PARAMS'!$D$15*(SUM('1_MODEL_assumptions'!AC60:AC61))</f>
        <v>2304900</v>
      </c>
      <c r="AD23" s="12"/>
      <c r="AE23" s="12"/>
      <c r="AF23" s="12"/>
      <c r="AG23" s="12"/>
      <c r="AH23" s="12"/>
    </row>
    <row r="24" spans="2:34" s="30" customFormat="1" x14ac:dyDescent="0.3">
      <c r="B24" s="97"/>
      <c r="C24" s="30" t="s">
        <v>213</v>
      </c>
      <c r="D24" s="12" t="s">
        <v>221</v>
      </c>
      <c r="E24" s="39"/>
      <c r="F24" s="12">
        <f t="shared" si="4"/>
        <v>7573750.7733333316</v>
      </c>
      <c r="G24" s="12"/>
      <c r="I24" s="12">
        <f>'1_MODEL_assumptions'!$G$54*'1_MODEL_assumptions'!I$63/'7_PARAMS'!$D$16</f>
        <v>415406.50666666665</v>
      </c>
      <c r="J24" s="12">
        <f>'1_MODEL_assumptions'!$G$54*'1_MODEL_assumptions'!J$63/'7_PARAMS'!$D$16</f>
        <v>393152.58666666667</v>
      </c>
      <c r="K24" s="12">
        <f>'1_MODEL_assumptions'!$G$54*'1_MODEL_assumptions'!K$63/'7_PARAMS'!$D$16</f>
        <v>356062.72000000003</v>
      </c>
      <c r="L24" s="12">
        <f>'1_MODEL_assumptions'!$G$54*'1_MODEL_assumptions'!L$63/'7_PARAMS'!$D$16</f>
        <v>356062.72000000003</v>
      </c>
      <c r="M24" s="12">
        <f>'1_MODEL_assumptions'!$G$54*'1_MODEL_assumptions'!M$63/'7_PARAMS'!$D$16</f>
        <v>356062.72000000003</v>
      </c>
      <c r="N24" s="12">
        <f>'1_MODEL_assumptions'!$G$54*'1_MODEL_assumptions'!N$63/'7_PARAMS'!$D$16</f>
        <v>356062.72000000003</v>
      </c>
      <c r="O24" s="12">
        <f>'1_MODEL_assumptions'!$G$54*'1_MODEL_assumptions'!O$63/'7_PARAMS'!$D$16</f>
        <v>356062.72000000003</v>
      </c>
      <c r="P24" s="12">
        <f>'1_MODEL_assumptions'!$G$54*'1_MODEL_assumptions'!P$63/'7_PARAMS'!$D$16</f>
        <v>356062.72000000003</v>
      </c>
      <c r="Q24" s="12">
        <f>'1_MODEL_assumptions'!$G$54*'1_MODEL_assumptions'!Q$63/'7_PARAMS'!$D$16</f>
        <v>356062.72000000003</v>
      </c>
      <c r="R24" s="12">
        <f>'1_MODEL_assumptions'!$G$54*'1_MODEL_assumptions'!R$63/'7_PARAMS'!$D$16</f>
        <v>356062.72000000003</v>
      </c>
      <c r="S24" s="12">
        <f>'1_MODEL_assumptions'!$G$54*'1_MODEL_assumptions'!S$63/'7_PARAMS'!$D$16</f>
        <v>356062.72000000003</v>
      </c>
      <c r="T24" s="12">
        <f>'1_MODEL_assumptions'!$G$54*'1_MODEL_assumptions'!T$63/'7_PARAMS'!$D$16</f>
        <v>356062.72000000003</v>
      </c>
      <c r="U24" s="12">
        <f>'1_MODEL_assumptions'!$G$54*'1_MODEL_assumptions'!U$63/'7_PARAMS'!$D$16</f>
        <v>356062.72000000003</v>
      </c>
      <c r="V24" s="12">
        <f>'1_MODEL_assumptions'!$G$54*'1_MODEL_assumptions'!V$63/'7_PARAMS'!$D$16</f>
        <v>356062.72000000003</v>
      </c>
      <c r="W24" s="12">
        <f>'1_MODEL_assumptions'!$G$54*'1_MODEL_assumptions'!W$63/'7_PARAMS'!$D$16</f>
        <v>356062.72000000003</v>
      </c>
      <c r="X24" s="12">
        <f>'1_MODEL_assumptions'!$G$54*'1_MODEL_assumptions'!X$63/'7_PARAMS'!$D$16</f>
        <v>356062.72000000003</v>
      </c>
      <c r="Y24" s="12">
        <f>'1_MODEL_assumptions'!$G$54*'1_MODEL_assumptions'!Y$63/'7_PARAMS'!$D$16</f>
        <v>356062.72000000003</v>
      </c>
      <c r="Z24" s="12">
        <f>'1_MODEL_assumptions'!$G$54*'1_MODEL_assumptions'!Z$63/'7_PARAMS'!$D$16</f>
        <v>356062.72000000003</v>
      </c>
      <c r="AA24" s="12">
        <f>'1_MODEL_assumptions'!$G$54*'1_MODEL_assumptions'!AA$63/'7_PARAMS'!$D$16</f>
        <v>356062.72000000003</v>
      </c>
      <c r="AB24" s="12">
        <f>'1_MODEL_assumptions'!$G$54*'1_MODEL_assumptions'!AB$63/'7_PARAMS'!$D$16</f>
        <v>356062.72000000003</v>
      </c>
      <c r="AC24" s="12">
        <f>'1_MODEL_assumptions'!$G$54*'1_MODEL_assumptions'!AC$63/'7_PARAMS'!$D$16</f>
        <v>356062.72000000003</v>
      </c>
      <c r="AD24" s="12"/>
      <c r="AE24" s="12"/>
      <c r="AF24" s="12"/>
      <c r="AG24" s="12"/>
      <c r="AH24" s="12"/>
    </row>
    <row r="25" spans="2:34" x14ac:dyDescent="0.3">
      <c r="B25" s="97"/>
      <c r="C25" s="33" t="s">
        <v>182</v>
      </c>
      <c r="D25" s="12" t="s">
        <v>13</v>
      </c>
      <c r="F25" s="12">
        <f>SUM(I25:AG25)</f>
        <v>17776023.554473881</v>
      </c>
      <c r="G25" s="12"/>
      <c r="I25" s="12">
        <f>'7_PARAMS'!$D$21*'4_Emissions'!I53</f>
        <v>1848050.4785888891</v>
      </c>
      <c r="J25" s="12">
        <f>'7_PARAMS'!$D$21*'4_Emissions'!J53</f>
        <v>1146960.0169516667</v>
      </c>
      <c r="K25" s="12">
        <f>'7_PARAMS'!$D$21*'4_Emissions'!K53</f>
        <v>777948.05573333323</v>
      </c>
      <c r="L25" s="12">
        <f>'7_PARAMS'!$D$21*'4_Emissions'!L53</f>
        <v>777948.05573333323</v>
      </c>
      <c r="M25" s="12">
        <f>'7_PARAMS'!$D$21*'4_Emissions'!M53</f>
        <v>777948.05573333323</v>
      </c>
      <c r="N25" s="12">
        <f>'7_PARAMS'!$D$21*'4_Emissions'!N53</f>
        <v>777948.05573333323</v>
      </c>
      <c r="O25" s="12">
        <f>'7_PARAMS'!$D$21*'4_Emissions'!O53</f>
        <v>777948.05573333323</v>
      </c>
      <c r="P25" s="12">
        <f>'7_PARAMS'!$D$21*'4_Emissions'!P53</f>
        <v>777948.05573333323</v>
      </c>
      <c r="Q25" s="12">
        <f>'7_PARAMS'!$D$21*'4_Emissions'!Q53</f>
        <v>777948.05573333323</v>
      </c>
      <c r="R25" s="12">
        <f>'7_PARAMS'!$D$21*'4_Emissions'!R53</f>
        <v>777948.05573333323</v>
      </c>
      <c r="S25" s="12">
        <f>'7_PARAMS'!$D$21*'4_Emissions'!S53</f>
        <v>777948.05573333323</v>
      </c>
      <c r="T25" s="12">
        <f>'7_PARAMS'!$D$21*'4_Emissions'!T53</f>
        <v>777948.05573333323</v>
      </c>
      <c r="U25" s="12">
        <f>'7_PARAMS'!$D$21*'4_Emissions'!U53</f>
        <v>777948.05573333323</v>
      </c>
      <c r="V25" s="12">
        <f>'7_PARAMS'!$D$21*'4_Emissions'!V53</f>
        <v>777948.05573333323</v>
      </c>
      <c r="W25" s="12">
        <f>'7_PARAMS'!$D$21*'4_Emissions'!W53</f>
        <v>777948.05573333323</v>
      </c>
      <c r="X25" s="12">
        <f>'7_PARAMS'!$D$21*'4_Emissions'!X53</f>
        <v>777948.05573333323</v>
      </c>
      <c r="Y25" s="12">
        <f>'7_PARAMS'!$D$21*'4_Emissions'!Y53</f>
        <v>777948.05573333323</v>
      </c>
      <c r="Z25" s="12">
        <f>'7_PARAMS'!$D$21*'4_Emissions'!Z53</f>
        <v>777948.05573333323</v>
      </c>
      <c r="AA25" s="12">
        <f>'7_PARAMS'!$D$21*'4_Emissions'!AA53</f>
        <v>777948.05573333323</v>
      </c>
      <c r="AB25" s="12">
        <f>'7_PARAMS'!$D$21*'4_Emissions'!AB53</f>
        <v>777948.05573333323</v>
      </c>
      <c r="AC25" s="12">
        <f>'7_PARAMS'!$D$21*'4_Emissions'!AC53</f>
        <v>777948.05573333323</v>
      </c>
      <c r="AD25" s="12"/>
      <c r="AE25" s="12"/>
      <c r="AF25" s="12"/>
      <c r="AG25" s="12"/>
      <c r="AH25" s="12"/>
    </row>
    <row r="26" spans="2:34" x14ac:dyDescent="0.3">
      <c r="B26" s="97"/>
      <c r="C26" s="33" t="s">
        <v>183</v>
      </c>
      <c r="D26" s="12" t="s">
        <v>13</v>
      </c>
      <c r="F26" s="12">
        <f>SUM(I26:AG26)</f>
        <v>12352577.906217057</v>
      </c>
      <c r="G26" s="12"/>
      <c r="I26" s="12">
        <f>'7_PARAMS'!$D$25*'4_Emissions'!I54</f>
        <v>181325.31575905043</v>
      </c>
      <c r="J26" s="12">
        <f>'7_PARAMS'!$D$25*'4_Emissions'!J54</f>
        <v>461415.25797987229</v>
      </c>
      <c r="K26" s="12">
        <f>'7_PARAMS'!$D$25*'4_Emissions'!K54</f>
        <v>616307.22802516515</v>
      </c>
      <c r="L26" s="12">
        <f>'7_PARAMS'!$D$25*'4_Emissions'!L54</f>
        <v>616307.22802516515</v>
      </c>
      <c r="M26" s="12">
        <f>'7_PARAMS'!$D$25*'4_Emissions'!M54</f>
        <v>616307.22802516515</v>
      </c>
      <c r="N26" s="12">
        <f>'7_PARAMS'!$D$25*'4_Emissions'!N54</f>
        <v>616307.22802516515</v>
      </c>
      <c r="O26" s="12">
        <f>'7_PARAMS'!$D$25*'4_Emissions'!O54</f>
        <v>616307.22802516515</v>
      </c>
      <c r="P26" s="12">
        <f>'7_PARAMS'!$D$25*'4_Emissions'!P54</f>
        <v>616307.22802516515</v>
      </c>
      <c r="Q26" s="12">
        <f>'7_PARAMS'!$D$25*'4_Emissions'!Q54</f>
        <v>616307.22802516515</v>
      </c>
      <c r="R26" s="12">
        <f>'7_PARAMS'!$D$25*'4_Emissions'!R54</f>
        <v>616307.22802516515</v>
      </c>
      <c r="S26" s="12">
        <f>'7_PARAMS'!$D$25*'4_Emissions'!S54</f>
        <v>616307.22802516515</v>
      </c>
      <c r="T26" s="12">
        <f>'7_PARAMS'!$D$25*'4_Emissions'!T54</f>
        <v>616307.22802516515</v>
      </c>
      <c r="U26" s="12">
        <f>'7_PARAMS'!$D$25*'4_Emissions'!U54</f>
        <v>616307.22802516515</v>
      </c>
      <c r="V26" s="12">
        <f>'7_PARAMS'!$D$25*'4_Emissions'!V54</f>
        <v>616307.22802516515</v>
      </c>
      <c r="W26" s="12">
        <f>'7_PARAMS'!$D$25*'4_Emissions'!W54</f>
        <v>616307.22802516515</v>
      </c>
      <c r="X26" s="12">
        <f>'7_PARAMS'!$D$25*'4_Emissions'!X54</f>
        <v>616307.22802516515</v>
      </c>
      <c r="Y26" s="12">
        <f>'7_PARAMS'!$D$25*'4_Emissions'!Y54</f>
        <v>616307.22802516515</v>
      </c>
      <c r="Z26" s="12">
        <f>'7_PARAMS'!$D$25*'4_Emissions'!Z54</f>
        <v>616307.22802516515</v>
      </c>
      <c r="AA26" s="12">
        <f>'7_PARAMS'!$D$25*'4_Emissions'!AA54</f>
        <v>616307.22802516515</v>
      </c>
      <c r="AB26" s="12">
        <f>'7_PARAMS'!$D$25*'4_Emissions'!AB54</f>
        <v>616307.22802516515</v>
      </c>
      <c r="AC26" s="12">
        <f>'7_PARAMS'!$D$25*'4_Emissions'!AC54</f>
        <v>616307.22802516515</v>
      </c>
      <c r="AD26" s="12"/>
      <c r="AE26" s="12"/>
      <c r="AF26" s="12"/>
      <c r="AG26" s="12"/>
      <c r="AH26" s="12"/>
    </row>
    <row r="27" spans="2:34" s="10" customFormat="1" x14ac:dyDescent="0.3">
      <c r="B27" s="70"/>
      <c r="D27" s="40"/>
      <c r="F27" s="40"/>
      <c r="G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row>
    <row r="28" spans="2:34" s="31" customFormat="1" x14ac:dyDescent="0.3">
      <c r="C28" s="31" t="s">
        <v>7</v>
      </c>
      <c r="D28" s="15" t="s">
        <v>13</v>
      </c>
      <c r="F28" s="15">
        <f t="shared" si="4"/>
        <v>340035103.43402421</v>
      </c>
      <c r="G28" s="15"/>
      <c r="I28" s="15">
        <f t="shared" ref="I28:AC28" si="8">SUM(I19:I27)</f>
        <v>20682076.847168457</v>
      </c>
      <c r="J28" s="15">
        <f t="shared" si="8"/>
        <v>18720457.923136666</v>
      </c>
      <c r="K28" s="15">
        <f t="shared" si="8"/>
        <v>15912999.565296959</v>
      </c>
      <c r="L28" s="15">
        <f t="shared" si="8"/>
        <v>15882230.334527727</v>
      </c>
      <c r="M28" s="15">
        <f t="shared" si="8"/>
        <v>15813961.103758497</v>
      </c>
      <c r="N28" s="15">
        <f t="shared" si="8"/>
        <v>15813961.103758497</v>
      </c>
      <c r="O28" s="15">
        <f t="shared" si="8"/>
        <v>15813961.103758497</v>
      </c>
      <c r="P28" s="15">
        <f t="shared" si="8"/>
        <v>15813961.103758497</v>
      </c>
      <c r="Q28" s="15">
        <f t="shared" si="8"/>
        <v>15813961.103758497</v>
      </c>
      <c r="R28" s="15">
        <f t="shared" si="8"/>
        <v>15813961.103758497</v>
      </c>
      <c r="S28" s="15">
        <f t="shared" si="8"/>
        <v>15813961.103758497</v>
      </c>
      <c r="T28" s="15">
        <f t="shared" si="8"/>
        <v>15813961.103758497</v>
      </c>
      <c r="U28" s="15">
        <f t="shared" si="8"/>
        <v>15813961.103758497</v>
      </c>
      <c r="V28" s="15">
        <f t="shared" si="8"/>
        <v>15813961.103758497</v>
      </c>
      <c r="W28" s="15">
        <f t="shared" si="8"/>
        <v>15813961.103758497</v>
      </c>
      <c r="X28" s="15">
        <f t="shared" si="8"/>
        <v>15813961.103758497</v>
      </c>
      <c r="Y28" s="15">
        <f t="shared" si="8"/>
        <v>15813961.103758497</v>
      </c>
      <c r="Z28" s="15">
        <f t="shared" si="8"/>
        <v>15813961.103758497</v>
      </c>
      <c r="AA28" s="15">
        <f t="shared" si="8"/>
        <v>15813961.103758497</v>
      </c>
      <c r="AB28" s="15">
        <f t="shared" si="8"/>
        <v>15813961.103758497</v>
      </c>
      <c r="AC28" s="15">
        <f t="shared" si="8"/>
        <v>15813961.103758497</v>
      </c>
      <c r="AD28" s="15"/>
      <c r="AE28" s="15"/>
      <c r="AF28" s="15"/>
      <c r="AG28" s="15"/>
      <c r="AH28" s="15"/>
    </row>
    <row r="29" spans="2:34" s="25" customFormat="1" x14ac:dyDescent="0.3">
      <c r="C29" s="25" t="s">
        <v>96</v>
      </c>
      <c r="D29" s="25" t="s">
        <v>13</v>
      </c>
      <c r="F29" s="26">
        <f>SUM(H29:AG29)</f>
        <v>191073990.28209773</v>
      </c>
      <c r="G29" s="26"/>
      <c r="H29" s="26"/>
      <c r="I29" s="26">
        <f>I28/'1_MODEL_assumptions'!I$132</f>
        <v>20682076.847168457</v>
      </c>
      <c r="J29" s="26">
        <f>J28/'1_MODEL_assumptions'!J$132</f>
        <v>17495755.068352025</v>
      </c>
      <c r="K29" s="26">
        <f>K28/'1_MODEL_assumptions'!K$132</f>
        <v>13899030.103325145</v>
      </c>
      <c r="L29" s="26">
        <f>L28/'1_MODEL_assumptions'!L$132</f>
        <v>12964630.902366469</v>
      </c>
      <c r="M29" s="26">
        <f>M28/'1_MODEL_assumptions'!M$132</f>
        <v>12064395.209563155</v>
      </c>
      <c r="N29" s="26">
        <f>N28/'1_MODEL_assumptions'!N$132</f>
        <v>11275135.709872106</v>
      </c>
      <c r="O29" s="26">
        <f>O28/'1_MODEL_assumptions'!O$132</f>
        <v>10537510.009226268</v>
      </c>
      <c r="P29" s="26">
        <f>P28/'1_MODEL_assumptions'!P$132</f>
        <v>9848140.1955385674</v>
      </c>
      <c r="Q29" s="26">
        <f>Q28/'1_MODEL_assumptions'!Q$132</f>
        <v>9203869.3416248299</v>
      </c>
      <c r="R29" s="26">
        <f>R28/'1_MODEL_assumptions'!R$132</f>
        <v>8601747.0482475031</v>
      </c>
      <c r="S29" s="26">
        <f>S28/'1_MODEL_assumptions'!S$132</f>
        <v>8039015.9329415923</v>
      </c>
      <c r="T29" s="26">
        <f>T28/'1_MODEL_assumptions'!T$132</f>
        <v>7513099.0027491506</v>
      </c>
      <c r="U29" s="26">
        <f>U28/'1_MODEL_assumptions'!U$132</f>
        <v>7021587.8530365909</v>
      </c>
      <c r="V29" s="26">
        <f>V28/'1_MODEL_assumptions'!V$132</f>
        <v>6562231.6383519536</v>
      </c>
      <c r="W29" s="26">
        <f>W28/'1_MODEL_assumptions'!W$132</f>
        <v>6132926.7648149105</v>
      </c>
      <c r="X29" s="26">
        <f>X28/'1_MODEL_assumptions'!X$132</f>
        <v>5731707.256836364</v>
      </c>
      <c r="Y29" s="26">
        <f>Y28/'1_MODEL_assumptions'!Y$132</f>
        <v>5356735.7540526772</v>
      </c>
      <c r="Z29" s="26">
        <f>Z28/'1_MODEL_assumptions'!Z$132</f>
        <v>5006295.097245493</v>
      </c>
      <c r="AA29" s="26">
        <f>AA28/'1_MODEL_assumptions'!AA$132</f>
        <v>4678780.4647154137</v>
      </c>
      <c r="AB29" s="26">
        <f>AB28/'1_MODEL_assumptions'!AB$132</f>
        <v>4372692.0230985172</v>
      </c>
      <c r="AC29" s="26">
        <f>AC28/'1_MODEL_assumptions'!AC$132</f>
        <v>4086628.0589705771</v>
      </c>
      <c r="AD29" s="26"/>
      <c r="AE29" s="26"/>
      <c r="AF29" s="26"/>
      <c r="AG29" s="26"/>
      <c r="AH29" s="26"/>
    </row>
    <row r="31" spans="2:34" s="30" customFormat="1" x14ac:dyDescent="0.3"/>
    <row r="32" spans="2:34" s="30" customFormat="1" x14ac:dyDescent="0.3">
      <c r="B32" s="95" t="s">
        <v>144</v>
      </c>
      <c r="C32" s="30" t="s">
        <v>174</v>
      </c>
      <c r="F32" s="12">
        <f t="shared" ref="F32:F39" si="9">SUM(H32:AC32)</f>
        <v>15600000</v>
      </c>
      <c r="L32" s="12">
        <f>2*'1_MODEL_assumptions'!$G$44</f>
        <v>1560000</v>
      </c>
      <c r="M32" s="12">
        <f>2*'1_MODEL_assumptions'!$G$44</f>
        <v>1560000</v>
      </c>
      <c r="N32" s="12">
        <f>2*'1_MODEL_assumptions'!$G$44</f>
        <v>1560000</v>
      </c>
      <c r="O32" s="12">
        <f>2*'1_MODEL_assumptions'!$G$44</f>
        <v>1560000</v>
      </c>
      <c r="P32" s="12">
        <f>2*'1_MODEL_assumptions'!$G$44</f>
        <v>1560000</v>
      </c>
      <c r="Q32" s="12">
        <f>2*'1_MODEL_assumptions'!$G$44</f>
        <v>1560000</v>
      </c>
      <c r="R32" s="12">
        <f>2*'1_MODEL_assumptions'!$G$44</f>
        <v>1560000</v>
      </c>
      <c r="S32" s="12">
        <f>2*'1_MODEL_assumptions'!$G$44</f>
        <v>1560000</v>
      </c>
      <c r="T32" s="12">
        <f>2*'1_MODEL_assumptions'!$G$44</f>
        <v>1560000</v>
      </c>
      <c r="U32" s="12">
        <f>2*'1_MODEL_assumptions'!$G$44</f>
        <v>1560000</v>
      </c>
    </row>
    <row r="33" spans="2:34" s="30" customFormat="1" x14ac:dyDescent="0.3">
      <c r="B33" s="95"/>
      <c r="C33" s="30" t="s">
        <v>201</v>
      </c>
      <c r="F33" s="12">
        <f t="shared" si="9"/>
        <v>1560000</v>
      </c>
      <c r="L33" s="12"/>
      <c r="M33" s="12"/>
      <c r="N33" s="12"/>
      <c r="O33" s="12"/>
      <c r="P33" s="12">
        <f>'1_MODEL_assumptions'!G44*2</f>
        <v>1560000</v>
      </c>
      <c r="Q33" s="12"/>
      <c r="R33" s="12"/>
      <c r="S33" s="12"/>
      <c r="T33" s="12"/>
      <c r="U33" s="12"/>
    </row>
    <row r="34" spans="2:34" s="30" customFormat="1" x14ac:dyDescent="0.3">
      <c r="B34" s="95"/>
      <c r="C34" s="30" t="s">
        <v>192</v>
      </c>
      <c r="F34" s="12">
        <f t="shared" si="9"/>
        <v>1078000</v>
      </c>
      <c r="M34" s="12">
        <f>'1_MODEL_assumptions'!G46*1</f>
        <v>215600</v>
      </c>
      <c r="N34" s="13">
        <f t="shared" ref="N34:Q38" si="10">M34</f>
        <v>215600</v>
      </c>
      <c r="O34" s="13">
        <f t="shared" si="10"/>
        <v>215600</v>
      </c>
      <c r="P34" s="13">
        <f t="shared" si="10"/>
        <v>215600</v>
      </c>
      <c r="Q34" s="13">
        <f t="shared" si="10"/>
        <v>215600</v>
      </c>
    </row>
    <row r="35" spans="2:34" s="30" customFormat="1" x14ac:dyDescent="0.3">
      <c r="B35" s="95"/>
      <c r="C35" s="30" t="s">
        <v>195</v>
      </c>
      <c r="F35" s="12">
        <f t="shared" si="9"/>
        <v>280000</v>
      </c>
      <c r="L35" s="12">
        <f>1*'1_MODEL_assumptions'!G48</f>
        <v>28000</v>
      </c>
      <c r="M35" s="13">
        <f>L35</f>
        <v>28000</v>
      </c>
      <c r="N35" s="13">
        <f t="shared" si="10"/>
        <v>28000</v>
      </c>
      <c r="O35" s="13">
        <f t="shared" si="10"/>
        <v>28000</v>
      </c>
      <c r="P35" s="13">
        <f t="shared" si="10"/>
        <v>28000</v>
      </c>
      <c r="Q35" s="13">
        <f t="shared" si="10"/>
        <v>28000</v>
      </c>
      <c r="R35" s="13">
        <f t="shared" ref="R35:U37" si="11">Q35</f>
        <v>28000</v>
      </c>
      <c r="S35" s="13">
        <f t="shared" si="11"/>
        <v>28000</v>
      </c>
      <c r="T35" s="13">
        <f t="shared" si="11"/>
        <v>28000</v>
      </c>
      <c r="U35" s="13">
        <f t="shared" si="11"/>
        <v>28000</v>
      </c>
    </row>
    <row r="36" spans="2:34" s="30" customFormat="1" x14ac:dyDescent="0.3">
      <c r="B36" s="95"/>
      <c r="C36" s="30" t="s">
        <v>193</v>
      </c>
      <c r="F36" s="12">
        <f t="shared" si="9"/>
        <v>455000</v>
      </c>
      <c r="L36" s="12">
        <f>1*'1_MODEL_assumptions'!G45</f>
        <v>45500</v>
      </c>
      <c r="M36" s="13">
        <f>L36</f>
        <v>45500</v>
      </c>
      <c r="N36" s="13">
        <f t="shared" si="10"/>
        <v>45500</v>
      </c>
      <c r="O36" s="13">
        <f t="shared" si="10"/>
        <v>45500</v>
      </c>
      <c r="P36" s="13">
        <f t="shared" si="10"/>
        <v>45500</v>
      </c>
      <c r="Q36" s="13">
        <f t="shared" si="10"/>
        <v>45500</v>
      </c>
      <c r="R36" s="13">
        <f t="shared" si="11"/>
        <v>45500</v>
      </c>
      <c r="S36" s="13">
        <f t="shared" si="11"/>
        <v>45500</v>
      </c>
      <c r="T36" s="13">
        <f t="shared" si="11"/>
        <v>45500</v>
      </c>
      <c r="U36" s="13">
        <f t="shared" si="11"/>
        <v>45500</v>
      </c>
    </row>
    <row r="37" spans="2:34" s="30" customFormat="1" x14ac:dyDescent="0.3">
      <c r="B37" s="95"/>
      <c r="C37" s="30" t="s">
        <v>194</v>
      </c>
      <c r="F37" s="12">
        <f t="shared" si="9"/>
        <v>350000</v>
      </c>
      <c r="L37" s="12">
        <f>1*'1_MODEL_assumptions'!G47</f>
        <v>35000</v>
      </c>
      <c r="M37" s="13">
        <f>L37</f>
        <v>35000</v>
      </c>
      <c r="N37" s="13">
        <f t="shared" si="10"/>
        <v>35000</v>
      </c>
      <c r="O37" s="13">
        <f t="shared" si="10"/>
        <v>35000</v>
      </c>
      <c r="P37" s="13">
        <f t="shared" si="10"/>
        <v>35000</v>
      </c>
      <c r="Q37" s="13">
        <f t="shared" si="10"/>
        <v>35000</v>
      </c>
      <c r="R37" s="13">
        <f t="shared" si="11"/>
        <v>35000</v>
      </c>
      <c r="S37" s="13">
        <f t="shared" si="11"/>
        <v>35000</v>
      </c>
      <c r="T37" s="13">
        <f t="shared" si="11"/>
        <v>35000</v>
      </c>
      <c r="U37" s="13">
        <f t="shared" si="11"/>
        <v>35000</v>
      </c>
    </row>
    <row r="38" spans="2:34" s="30" customFormat="1" x14ac:dyDescent="0.3">
      <c r="B38" s="95"/>
      <c r="C38" s="30" t="str">
        <f>C8</f>
        <v>Reefer Stack Upgrades (160)</v>
      </c>
      <c r="F38" s="12">
        <f t="shared" si="9"/>
        <v>7000000</v>
      </c>
      <c r="L38" s="12">
        <f>'1_MODEL_assumptions'!G49*20</f>
        <v>875000</v>
      </c>
      <c r="M38" s="12">
        <f>L38</f>
        <v>875000</v>
      </c>
      <c r="N38" s="12">
        <f t="shared" si="10"/>
        <v>875000</v>
      </c>
      <c r="O38" s="12">
        <f t="shared" si="10"/>
        <v>875000</v>
      </c>
      <c r="P38" s="12">
        <f t="shared" si="10"/>
        <v>875000</v>
      </c>
      <c r="Q38" s="12">
        <f t="shared" si="10"/>
        <v>875000</v>
      </c>
      <c r="R38" s="12">
        <f>Q38</f>
        <v>875000</v>
      </c>
      <c r="S38" s="12">
        <f>R38</f>
        <v>875000</v>
      </c>
      <c r="T38" s="13"/>
      <c r="U38" s="13"/>
    </row>
    <row r="39" spans="2:34" s="30" customFormat="1" x14ac:dyDescent="0.3">
      <c r="B39" s="95"/>
      <c r="C39" s="30" t="s">
        <v>137</v>
      </c>
      <c r="F39" s="12">
        <f t="shared" si="9"/>
        <v>5054016</v>
      </c>
      <c r="L39" s="13">
        <f>SUM(L32:L38)*'7_PARAMS'!$D$12</f>
        <v>488352</v>
      </c>
      <c r="M39" s="13">
        <f>SUM(M32:M38)*'7_PARAMS'!$D$12</f>
        <v>529747.19999999995</v>
      </c>
      <c r="N39" s="13">
        <f>SUM(N32:N38)*'7_PARAMS'!$D$12</f>
        <v>529747.19999999995</v>
      </c>
      <c r="O39" s="13">
        <f>SUM(O32:O38)*'7_PARAMS'!$D$12</f>
        <v>529747.19999999995</v>
      </c>
      <c r="P39" s="13">
        <f>SUM(P32:P38)*'7_PARAMS'!$D$12</f>
        <v>829267.20000000007</v>
      </c>
      <c r="Q39" s="13">
        <f>SUM(Q32:Q38)*'7_PARAMS'!$D$12</f>
        <v>529747.19999999995</v>
      </c>
      <c r="R39" s="13">
        <f>SUM(R32:R38)*'7_PARAMS'!$D$12</f>
        <v>488352</v>
      </c>
      <c r="S39" s="13">
        <f>SUM(S32:S38)*'7_PARAMS'!$D$12</f>
        <v>488352</v>
      </c>
      <c r="T39" s="13">
        <f>SUM(T32:T38)*'7_PARAMS'!$D$12</f>
        <v>320352</v>
      </c>
      <c r="U39" s="13">
        <f>SUM(U32:U38)*'7_PARAMS'!$D$12</f>
        <v>320352</v>
      </c>
    </row>
    <row r="40" spans="2:34" s="15" customFormat="1" x14ac:dyDescent="0.3">
      <c r="C40" s="15" t="s">
        <v>7</v>
      </c>
      <c r="F40" s="15">
        <f>SUM(H40:AC40)</f>
        <v>31377016</v>
      </c>
      <c r="I40" s="15">
        <f>SUM(I32:I39)</f>
        <v>0</v>
      </c>
      <c r="J40" s="15">
        <f t="shared" ref="J40:AC40" si="12">SUM(J32:J39)</f>
        <v>0</v>
      </c>
      <c r="K40" s="15">
        <f t="shared" si="12"/>
        <v>0</v>
      </c>
      <c r="L40" s="15">
        <f t="shared" si="12"/>
        <v>3031852</v>
      </c>
      <c r="M40" s="15">
        <f t="shared" si="12"/>
        <v>3288847.2</v>
      </c>
      <c r="N40" s="15">
        <f t="shared" si="12"/>
        <v>3288847.2</v>
      </c>
      <c r="O40" s="15">
        <f t="shared" si="12"/>
        <v>3288847.2</v>
      </c>
      <c r="P40" s="15">
        <f t="shared" si="12"/>
        <v>5148367.2</v>
      </c>
      <c r="Q40" s="15">
        <f t="shared" si="12"/>
        <v>3288847.2</v>
      </c>
      <c r="R40" s="15">
        <f t="shared" si="12"/>
        <v>3031852</v>
      </c>
      <c r="S40" s="15">
        <f t="shared" si="12"/>
        <v>3031852</v>
      </c>
      <c r="T40" s="15">
        <f t="shared" si="12"/>
        <v>1988852</v>
      </c>
      <c r="U40" s="15">
        <f t="shared" si="12"/>
        <v>1988852</v>
      </c>
      <c r="V40" s="15">
        <f t="shared" si="12"/>
        <v>0</v>
      </c>
      <c r="W40" s="15">
        <f t="shared" si="12"/>
        <v>0</v>
      </c>
      <c r="X40" s="15">
        <f t="shared" si="12"/>
        <v>0</v>
      </c>
      <c r="Y40" s="15">
        <f t="shared" si="12"/>
        <v>0</v>
      </c>
      <c r="Z40" s="15">
        <f t="shared" si="12"/>
        <v>0</v>
      </c>
      <c r="AA40" s="15">
        <f t="shared" si="12"/>
        <v>0</v>
      </c>
      <c r="AB40" s="15">
        <f t="shared" si="12"/>
        <v>0</v>
      </c>
      <c r="AC40" s="15">
        <f t="shared" si="12"/>
        <v>0</v>
      </c>
    </row>
    <row r="41" spans="2:34" s="25" customFormat="1" x14ac:dyDescent="0.3">
      <c r="C41" s="25" t="s">
        <v>96</v>
      </c>
      <c r="D41" s="25" t="s">
        <v>13</v>
      </c>
      <c r="F41" s="26">
        <f>SUM(H41:AG41)</f>
        <v>19658953.603427157</v>
      </c>
      <c r="G41" s="26"/>
      <c r="H41" s="26"/>
      <c r="I41" s="28">
        <f>I40/'1_MODEL_assumptions'!I$132</f>
        <v>0</v>
      </c>
      <c r="J41" s="28">
        <f>J40/'1_MODEL_assumptions'!J$132</f>
        <v>0</v>
      </c>
      <c r="K41" s="28">
        <f>K40/'1_MODEL_assumptions'!K$132</f>
        <v>0</v>
      </c>
      <c r="L41" s="28">
        <f>L40/'1_MODEL_assumptions'!L$132</f>
        <v>2474894.3506472833</v>
      </c>
      <c r="M41" s="28">
        <f>M40/'1_MODEL_assumptions'!M$132</f>
        <v>2509045.7820359096</v>
      </c>
      <c r="N41" s="28">
        <f>N40/'1_MODEL_assumptions'!N$132</f>
        <v>2344902.6000335603</v>
      </c>
      <c r="O41" s="28">
        <f>O40/'1_MODEL_assumptions'!O$132</f>
        <v>2191497.7570407107</v>
      </c>
      <c r="P41" s="28">
        <f>P40/'1_MODEL_assumptions'!P$132</f>
        <v>3206144.3449270953</v>
      </c>
      <c r="Q41" s="28">
        <f>Q40/'1_MODEL_assumptions'!Q$132</f>
        <v>1914139.0139232341</v>
      </c>
      <c r="R41" s="28">
        <f>R40/'1_MODEL_assumptions'!R$132</f>
        <v>1649126.6053212343</v>
      </c>
      <c r="S41" s="28">
        <f>S40/'1_MODEL_assumptions'!S$132</f>
        <v>1541239.8180572283</v>
      </c>
      <c r="T41" s="28">
        <f>T40/'1_MODEL_assumptions'!T$132</f>
        <v>944889.25828104455</v>
      </c>
      <c r="U41" s="28">
        <f>U40/'1_MODEL_assumptions'!U$132</f>
        <v>883074.07315985486</v>
      </c>
      <c r="V41" s="28">
        <f>V40/'1_MODEL_assumptions'!V$132</f>
        <v>0</v>
      </c>
      <c r="W41" s="28">
        <f>W40/'1_MODEL_assumptions'!W$132</f>
        <v>0</v>
      </c>
      <c r="X41" s="28">
        <f>X40/'1_MODEL_assumptions'!X$132</f>
        <v>0</v>
      </c>
      <c r="Y41" s="28">
        <f>Y40/'1_MODEL_assumptions'!Y$132</f>
        <v>0</v>
      </c>
      <c r="Z41" s="28">
        <f>Z40/'1_MODEL_assumptions'!Z$132</f>
        <v>0</v>
      </c>
      <c r="AA41" s="28">
        <f>AA40/'1_MODEL_assumptions'!AA$132</f>
        <v>0</v>
      </c>
      <c r="AB41" s="28">
        <f>AB40/'1_MODEL_assumptions'!AB$132</f>
        <v>0</v>
      </c>
      <c r="AC41" s="28">
        <f>AC40/'1_MODEL_assumptions'!AC$132</f>
        <v>0</v>
      </c>
      <c r="AD41" s="28"/>
      <c r="AE41" s="28"/>
      <c r="AF41" s="28"/>
      <c r="AG41" s="28"/>
      <c r="AH41" s="28"/>
    </row>
    <row r="42" spans="2:34" s="30" customFormat="1" x14ac:dyDescent="0.3"/>
    <row r="43" spans="2:34" x14ac:dyDescent="0.3">
      <c r="B43" s="95" t="s">
        <v>112</v>
      </c>
      <c r="C43" t="str">
        <f t="shared" ref="C43:C48" si="13">C22</f>
        <v>Labor, Longshoremen</v>
      </c>
      <c r="D43" s="12" t="s">
        <v>13</v>
      </c>
      <c r="F43" s="12">
        <f t="shared" ref="F43:F49" si="14">SUM(I43:AG43)</f>
        <v>357874790.00000012</v>
      </c>
      <c r="G43" s="12"/>
      <c r="I43" s="12">
        <f>'1_MODEL_assumptions'!$G$52*'7_PARAMS'!$D$15*(SUM('1_MODEL_assumptions'!I$66,'1_MODEL_assumptions'!I$67,'1_MODEL_assumptions'!I$71))</f>
        <v>16359990.4</v>
      </c>
      <c r="J43" s="12">
        <f>'1_MODEL_assumptions'!$G$52*'7_PARAMS'!$D$15*(SUM('1_MODEL_assumptions'!J$66,'1_MODEL_assumptions'!J$67,'1_MODEL_assumptions'!J$71))</f>
        <v>16359990.4</v>
      </c>
      <c r="K43" s="12">
        <f>'1_MODEL_assumptions'!$G$52*'7_PARAMS'!$D$15*(SUM('1_MODEL_assumptions'!K$66,'1_MODEL_assumptions'!K$67,'1_MODEL_assumptions'!K$71))</f>
        <v>16359990.4</v>
      </c>
      <c r="L43" s="12">
        <f>'1_MODEL_assumptions'!$G$52*'7_PARAMS'!$D$15*(SUM('1_MODEL_assumptions'!L$66,'1_MODEL_assumptions'!L$67,'1_MODEL_assumptions'!L$71))</f>
        <v>16359990.4</v>
      </c>
      <c r="M43" s="12">
        <f>'1_MODEL_assumptions'!$G$52*'7_PARAMS'!$D$15*(SUM('1_MODEL_assumptions'!M$66,'1_MODEL_assumptions'!M$67,'1_MODEL_assumptions'!M$71))</f>
        <v>16359990.4</v>
      </c>
      <c r="N43" s="12">
        <f>'1_MODEL_assumptions'!$G$52*'7_PARAMS'!$D$15*(SUM('1_MODEL_assumptions'!N$66,'1_MODEL_assumptions'!N$67,'1_MODEL_assumptions'!N$71))</f>
        <v>16359990.4</v>
      </c>
      <c r="O43" s="12">
        <f>'1_MODEL_assumptions'!$G$52*'7_PARAMS'!$D$15*(SUM('1_MODEL_assumptions'!O$66,'1_MODEL_assumptions'!O$67,'1_MODEL_assumptions'!O$71))</f>
        <v>16359990.4</v>
      </c>
      <c r="P43" s="12">
        <f>'1_MODEL_assumptions'!$G$52*'7_PARAMS'!$D$15*(SUM('1_MODEL_assumptions'!P$66,'1_MODEL_assumptions'!P$67,'1_MODEL_assumptions'!P$71))</f>
        <v>17382489.800000001</v>
      </c>
      <c r="Q43" s="12">
        <f>'1_MODEL_assumptions'!$G$52*'7_PARAMS'!$D$15*(SUM('1_MODEL_assumptions'!Q$66,'1_MODEL_assumptions'!Q$67,'1_MODEL_assumptions'!Q$71))</f>
        <v>17382489.800000001</v>
      </c>
      <c r="R43" s="12">
        <f>'1_MODEL_assumptions'!$G$52*'7_PARAMS'!$D$15*(SUM('1_MODEL_assumptions'!R$66,'1_MODEL_assumptions'!R$67,'1_MODEL_assumptions'!R$71))</f>
        <v>17382489.800000001</v>
      </c>
      <c r="S43" s="12">
        <f>'1_MODEL_assumptions'!$G$52*'7_PARAMS'!$D$15*(SUM('1_MODEL_assumptions'!S$66,'1_MODEL_assumptions'!S$67,'1_MODEL_assumptions'!S$71))</f>
        <v>17382489.800000001</v>
      </c>
      <c r="T43" s="12">
        <f>'1_MODEL_assumptions'!$G$52*'7_PARAMS'!$D$15*(SUM('1_MODEL_assumptions'!T$66,'1_MODEL_assumptions'!T$67,'1_MODEL_assumptions'!T$71))</f>
        <v>17382489.800000001</v>
      </c>
      <c r="U43" s="12">
        <f>'1_MODEL_assumptions'!$G$52*'7_PARAMS'!$D$15*(SUM('1_MODEL_assumptions'!U$66,'1_MODEL_assumptions'!U$67,'1_MODEL_assumptions'!U$71))</f>
        <v>17382489.800000001</v>
      </c>
      <c r="V43" s="12">
        <f>'1_MODEL_assumptions'!$G$52*'7_PARAMS'!$D$15*(SUM('1_MODEL_assumptions'!V$66,'1_MODEL_assumptions'!V$67,'1_MODEL_assumptions'!V$71))</f>
        <v>17382489.800000001</v>
      </c>
      <c r="W43" s="12">
        <f>'1_MODEL_assumptions'!$G$52*'7_PARAMS'!$D$15*(SUM('1_MODEL_assumptions'!W$66,'1_MODEL_assumptions'!W$67,'1_MODEL_assumptions'!W$71))</f>
        <v>17382489.800000001</v>
      </c>
      <c r="X43" s="12">
        <f>'1_MODEL_assumptions'!$G$52*'7_PARAMS'!$D$15*(SUM('1_MODEL_assumptions'!X$66,'1_MODEL_assumptions'!X$67,'1_MODEL_assumptions'!X$71))</f>
        <v>17382489.800000001</v>
      </c>
      <c r="Y43" s="12">
        <f>'1_MODEL_assumptions'!$G$52*'7_PARAMS'!$D$15*(SUM('1_MODEL_assumptions'!Y$66,'1_MODEL_assumptions'!Y$67,'1_MODEL_assumptions'!Y$71))</f>
        <v>17382489.800000001</v>
      </c>
      <c r="Z43" s="12">
        <f>'1_MODEL_assumptions'!$G$52*'7_PARAMS'!$D$15*(SUM('1_MODEL_assumptions'!Z$66,'1_MODEL_assumptions'!Z$67,'1_MODEL_assumptions'!Z$71))</f>
        <v>17382489.800000001</v>
      </c>
      <c r="AA43" s="12">
        <f>'1_MODEL_assumptions'!$G$52*'7_PARAMS'!$D$15*(SUM('1_MODEL_assumptions'!AA$66,'1_MODEL_assumptions'!AA$67,'1_MODEL_assumptions'!AA$71))</f>
        <v>17382489.800000001</v>
      </c>
      <c r="AB43" s="12">
        <f>'1_MODEL_assumptions'!$G$52*'7_PARAMS'!$D$15*(SUM('1_MODEL_assumptions'!AB$66,'1_MODEL_assumptions'!AB$67,'1_MODEL_assumptions'!AB$71))</f>
        <v>17382489.800000001</v>
      </c>
      <c r="AC43" s="12">
        <f>'1_MODEL_assumptions'!$G$52*'7_PARAMS'!$D$15*(SUM('1_MODEL_assumptions'!AC$66,'1_MODEL_assumptions'!AC$67,'1_MODEL_assumptions'!AC$71))</f>
        <v>17382489.800000001</v>
      </c>
      <c r="AD43" s="12"/>
      <c r="AE43" s="12"/>
      <c r="AF43" s="12"/>
      <c r="AG43" s="12"/>
      <c r="AH43" s="12"/>
    </row>
    <row r="44" spans="2:34" x14ac:dyDescent="0.3">
      <c r="B44" s="95"/>
      <c r="C44" s="30" t="str">
        <f t="shared" si="13"/>
        <v>Labor, Forklift Operator</v>
      </c>
      <c r="D44" s="12" t="s">
        <v>13</v>
      </c>
      <c r="F44" s="12">
        <f t="shared" si="14"/>
        <v>48402900</v>
      </c>
      <c r="G44" s="12"/>
      <c r="I44" s="12">
        <f>'1_MODEL_assumptions'!$G$53*'7_PARAMS'!$D$15*(SUM('1_MODEL_assumptions'!I69:I70))</f>
        <v>2304900</v>
      </c>
      <c r="J44" s="12">
        <f>'1_MODEL_assumptions'!$G$53*'7_PARAMS'!$D$15*(SUM('1_MODEL_assumptions'!J69:J70))</f>
        <v>2304900</v>
      </c>
      <c r="K44" s="12">
        <f>'1_MODEL_assumptions'!$G$53*'7_PARAMS'!$D$15*(SUM('1_MODEL_assumptions'!K69:K70))</f>
        <v>2304900</v>
      </c>
      <c r="L44" s="12">
        <f>'1_MODEL_assumptions'!$G$53*'7_PARAMS'!$D$15*(SUM('1_MODEL_assumptions'!L69:L70))</f>
        <v>2304900</v>
      </c>
      <c r="M44" s="12">
        <f>'1_MODEL_assumptions'!$G$53*'7_PARAMS'!$D$15*(SUM('1_MODEL_assumptions'!M69:M70))</f>
        <v>2304900</v>
      </c>
      <c r="N44" s="12">
        <f>'1_MODEL_assumptions'!$G$53*'7_PARAMS'!$D$15*(SUM('1_MODEL_assumptions'!N69:N70))</f>
        <v>2304900</v>
      </c>
      <c r="O44" s="12">
        <f>'1_MODEL_assumptions'!$G$53*'7_PARAMS'!$D$15*(SUM('1_MODEL_assumptions'!O69:O70))</f>
        <v>2304900</v>
      </c>
      <c r="P44" s="12">
        <f>'1_MODEL_assumptions'!$G$53*'7_PARAMS'!$D$15*(SUM('1_MODEL_assumptions'!P69:P70))</f>
        <v>2304900</v>
      </c>
      <c r="Q44" s="12">
        <f>'1_MODEL_assumptions'!$G$53*'7_PARAMS'!$D$15*(SUM('1_MODEL_assumptions'!Q69:Q70))</f>
        <v>2304900</v>
      </c>
      <c r="R44" s="12">
        <f>'1_MODEL_assumptions'!$G$53*'7_PARAMS'!$D$15*(SUM('1_MODEL_assumptions'!R69:R70))</f>
        <v>2304900</v>
      </c>
      <c r="S44" s="12">
        <f>'1_MODEL_assumptions'!$G$53*'7_PARAMS'!$D$15*(SUM('1_MODEL_assumptions'!S69:S70))</f>
        <v>2304900</v>
      </c>
      <c r="T44" s="12">
        <f>'1_MODEL_assumptions'!$G$53*'7_PARAMS'!$D$15*(SUM('1_MODEL_assumptions'!T69:T70))</f>
        <v>2304900</v>
      </c>
      <c r="U44" s="12">
        <f>'1_MODEL_assumptions'!$G$53*'7_PARAMS'!$D$15*(SUM('1_MODEL_assumptions'!U69:U70))</f>
        <v>2304900</v>
      </c>
      <c r="V44" s="12">
        <f>'1_MODEL_assumptions'!$G$53*'7_PARAMS'!$D$15*(SUM('1_MODEL_assumptions'!V69:V70))</f>
        <v>2304900</v>
      </c>
      <c r="W44" s="12">
        <f>'1_MODEL_assumptions'!$G$53*'7_PARAMS'!$D$15*(SUM('1_MODEL_assumptions'!W69:W70))</f>
        <v>2304900</v>
      </c>
      <c r="X44" s="12">
        <f>'1_MODEL_assumptions'!$G$53*'7_PARAMS'!$D$15*(SUM('1_MODEL_assumptions'!X69:X70))</f>
        <v>2304900</v>
      </c>
      <c r="Y44" s="12">
        <f>'1_MODEL_assumptions'!$G$53*'7_PARAMS'!$D$15*(SUM('1_MODEL_assumptions'!Y69:Y70))</f>
        <v>2304900</v>
      </c>
      <c r="Z44" s="12">
        <f>'1_MODEL_assumptions'!$G$53*'7_PARAMS'!$D$15*(SUM('1_MODEL_assumptions'!Z69:Z70))</f>
        <v>2304900</v>
      </c>
      <c r="AA44" s="12">
        <f>'1_MODEL_assumptions'!$G$53*'7_PARAMS'!$D$15*(SUM('1_MODEL_assumptions'!AA69:AA70))</f>
        <v>2304900</v>
      </c>
      <c r="AB44" s="12">
        <f>'1_MODEL_assumptions'!$G$53*'7_PARAMS'!$D$15*(SUM('1_MODEL_assumptions'!AB69:AB70))</f>
        <v>2304900</v>
      </c>
      <c r="AC44" s="12">
        <f>'1_MODEL_assumptions'!$G$53*'7_PARAMS'!$D$15*(SUM('1_MODEL_assumptions'!AC69:AC70))</f>
        <v>2304900</v>
      </c>
      <c r="AD44" s="12"/>
      <c r="AE44" s="12"/>
      <c r="AF44" s="12"/>
      <c r="AG44" s="12"/>
      <c r="AH44" s="12"/>
    </row>
    <row r="45" spans="2:34" s="30" customFormat="1" x14ac:dyDescent="0.3">
      <c r="B45" s="95"/>
      <c r="C45" s="30" t="str">
        <f t="shared" si="13"/>
        <v>Labor, Maintenance</v>
      </c>
      <c r="D45" s="12"/>
      <c r="F45" s="12">
        <f t="shared" si="14"/>
        <v>9087017.333333334</v>
      </c>
      <c r="G45" s="12"/>
      <c r="I45" s="12">
        <f>'1_MODEL_assumptions'!$G$54*'1_MODEL_assumptions'!I$72/'7_PARAMS'!$D$16</f>
        <v>422824.48000000004</v>
      </c>
      <c r="J45" s="12">
        <f>'1_MODEL_assumptions'!$G$54*'1_MODEL_assumptions'!J$72/'7_PARAMS'!$D$16</f>
        <v>422824.48000000004</v>
      </c>
      <c r="K45" s="12">
        <f>'1_MODEL_assumptions'!$G$54*'1_MODEL_assumptions'!K$72/'7_PARAMS'!$D$16</f>
        <v>422824.48000000004</v>
      </c>
      <c r="L45" s="12">
        <f>'1_MODEL_assumptions'!$G$54*'1_MODEL_assumptions'!L$72/'7_PARAMS'!$D$16</f>
        <v>422824.48000000004</v>
      </c>
      <c r="M45" s="12">
        <f>'1_MODEL_assumptions'!$G$54*'1_MODEL_assumptions'!M$72/'7_PARAMS'!$D$16</f>
        <v>422824.48000000004</v>
      </c>
      <c r="N45" s="12">
        <f>'1_MODEL_assumptions'!$G$54*'1_MODEL_assumptions'!N$72/'7_PARAMS'!$D$16</f>
        <v>422824.48000000004</v>
      </c>
      <c r="O45" s="12">
        <f>'1_MODEL_assumptions'!$G$54*'1_MODEL_assumptions'!O$72/'7_PARAMS'!$D$16</f>
        <v>422824.48000000004</v>
      </c>
      <c r="P45" s="12">
        <f>'1_MODEL_assumptions'!$G$54*'1_MODEL_assumptions'!P$72/'7_PARAMS'!$D$16</f>
        <v>437660.4266666667</v>
      </c>
      <c r="Q45" s="12">
        <f>'1_MODEL_assumptions'!$G$54*'1_MODEL_assumptions'!Q$72/'7_PARAMS'!$D$16</f>
        <v>437660.4266666667</v>
      </c>
      <c r="R45" s="12">
        <f>'1_MODEL_assumptions'!$G$54*'1_MODEL_assumptions'!R$72/'7_PARAMS'!$D$16</f>
        <v>437660.4266666667</v>
      </c>
      <c r="S45" s="12">
        <f>'1_MODEL_assumptions'!$G$54*'1_MODEL_assumptions'!S$72/'7_PARAMS'!$D$16</f>
        <v>437660.4266666667</v>
      </c>
      <c r="T45" s="12">
        <f>'1_MODEL_assumptions'!$G$54*'1_MODEL_assumptions'!T$72/'7_PARAMS'!$D$16</f>
        <v>437660.4266666667</v>
      </c>
      <c r="U45" s="12">
        <f>'1_MODEL_assumptions'!$G$54*'1_MODEL_assumptions'!U$72/'7_PARAMS'!$D$16</f>
        <v>437660.4266666667</v>
      </c>
      <c r="V45" s="12">
        <f>'1_MODEL_assumptions'!$G$54*'1_MODEL_assumptions'!V$72/'7_PARAMS'!$D$16</f>
        <v>437660.4266666667</v>
      </c>
      <c r="W45" s="12">
        <f>'1_MODEL_assumptions'!$G$54*'1_MODEL_assumptions'!W$72/'7_PARAMS'!$D$16</f>
        <v>437660.4266666667</v>
      </c>
      <c r="X45" s="12">
        <f>'1_MODEL_assumptions'!$G$54*'1_MODEL_assumptions'!X$72/'7_PARAMS'!$D$16</f>
        <v>437660.4266666667</v>
      </c>
      <c r="Y45" s="12">
        <f>'1_MODEL_assumptions'!$G$54*'1_MODEL_assumptions'!Y$72/'7_PARAMS'!$D$16</f>
        <v>437660.4266666667</v>
      </c>
      <c r="Z45" s="12">
        <f>'1_MODEL_assumptions'!$G$54*'1_MODEL_assumptions'!Z$72/'7_PARAMS'!$D$16</f>
        <v>437660.4266666667</v>
      </c>
      <c r="AA45" s="12">
        <f>'1_MODEL_assumptions'!$G$54*'1_MODEL_assumptions'!AA$72/'7_PARAMS'!$D$16</f>
        <v>437660.4266666667</v>
      </c>
      <c r="AB45" s="12">
        <f>'1_MODEL_assumptions'!$G$54*'1_MODEL_assumptions'!AB$72/'7_PARAMS'!$D$16</f>
        <v>437660.4266666667</v>
      </c>
      <c r="AC45" s="12">
        <f>'1_MODEL_assumptions'!$G$54*'1_MODEL_assumptions'!AC$72/'7_PARAMS'!$D$16</f>
        <v>437660.4266666667</v>
      </c>
      <c r="AD45" s="12"/>
      <c r="AE45" s="12"/>
      <c r="AF45" s="12"/>
      <c r="AG45" s="12"/>
      <c r="AH45" s="12"/>
    </row>
    <row r="46" spans="2:34" s="30" customFormat="1" x14ac:dyDescent="0.3">
      <c r="B46" s="95"/>
      <c r="C46" s="30" t="str">
        <f t="shared" si="13"/>
        <v>Fuel</v>
      </c>
      <c r="D46" s="12"/>
      <c r="F46" s="12">
        <f t="shared" si="14"/>
        <v>99943911.747740701</v>
      </c>
      <c r="G46" s="12"/>
      <c r="I46" s="12">
        <f>'7_PARAMS'!$D$21*('4_Emissions'!I73+'6_Throughput'!I16)</f>
        <v>2419613.1466000006</v>
      </c>
      <c r="J46" s="12">
        <f>'7_PARAMS'!$D$21*('4_Emissions'!J73+'6_Throughput'!J16)</f>
        <v>3261354.2162761539</v>
      </c>
      <c r="K46" s="12">
        <f>'7_PARAMS'!$D$21*('4_Emissions'!K73+'6_Throughput'!K16)</f>
        <v>4103095.2859523068</v>
      </c>
      <c r="L46" s="12">
        <f>'7_PARAMS'!$D$21*('4_Emissions'!L73+'6_Throughput'!L16)</f>
        <v>4944836.3556284597</v>
      </c>
      <c r="M46" s="12">
        <f>'7_PARAMS'!$D$21*('4_Emissions'!M73+'6_Throughput'!M16)</f>
        <v>4944836.3556284597</v>
      </c>
      <c r="N46" s="12">
        <f>'7_PARAMS'!$D$21*('4_Emissions'!N73+'6_Throughput'!N16)</f>
        <v>4944836.3556284597</v>
      </c>
      <c r="O46" s="12">
        <f>'7_PARAMS'!$D$21*('4_Emissions'!O73+'6_Throughput'!O16)</f>
        <v>4944836.3556284597</v>
      </c>
      <c r="P46" s="12">
        <f>'7_PARAMS'!$D$21*('4_Emissions'!P73+'6_Throughput'!P16)</f>
        <v>5027178.8340284592</v>
      </c>
      <c r="Q46" s="12">
        <f>'7_PARAMS'!$D$21*('4_Emissions'!Q73+'6_Throughput'!Q16)</f>
        <v>5027178.8340284592</v>
      </c>
      <c r="R46" s="12">
        <f>'7_PARAMS'!$D$21*('4_Emissions'!R73+'6_Throughput'!R16)</f>
        <v>5027178.8340284592</v>
      </c>
      <c r="S46" s="12">
        <f>'7_PARAMS'!$D$21*('4_Emissions'!S73+'6_Throughput'!S16)</f>
        <v>5027178.8340284592</v>
      </c>
      <c r="T46" s="12">
        <f>'7_PARAMS'!$D$21*('4_Emissions'!T73+'6_Throughput'!T16)</f>
        <v>5027178.8340284592</v>
      </c>
      <c r="U46" s="12">
        <f>'7_PARAMS'!$D$21*('4_Emissions'!U73+'6_Throughput'!U16)</f>
        <v>5027178.8340284592</v>
      </c>
      <c r="V46" s="12">
        <f>'7_PARAMS'!$D$21*('4_Emissions'!V73+'6_Throughput'!V16)</f>
        <v>5027178.8340284592</v>
      </c>
      <c r="W46" s="12">
        <f>'7_PARAMS'!$D$21*('4_Emissions'!W73+'6_Throughput'!W16)</f>
        <v>5027178.8340284592</v>
      </c>
      <c r="X46" s="12">
        <f>'7_PARAMS'!$D$21*('4_Emissions'!X73+'6_Throughput'!X16)</f>
        <v>5027178.8340284592</v>
      </c>
      <c r="Y46" s="12">
        <f>'7_PARAMS'!$D$21*('4_Emissions'!Y73+'6_Throughput'!Y16)</f>
        <v>5027178.8340284592</v>
      </c>
      <c r="Z46" s="12">
        <f>'7_PARAMS'!$D$21*('4_Emissions'!Z73+'6_Throughput'!Z16)</f>
        <v>5027178.8340284592</v>
      </c>
      <c r="AA46" s="12">
        <f>'7_PARAMS'!$D$21*('4_Emissions'!AA73+'6_Throughput'!AA16)</f>
        <v>5027178.8340284592</v>
      </c>
      <c r="AB46" s="12">
        <f>'7_PARAMS'!$D$21*('4_Emissions'!AB73+'6_Throughput'!AB16)</f>
        <v>5027178.8340284592</v>
      </c>
      <c r="AC46" s="12">
        <f>'7_PARAMS'!$D$21*('4_Emissions'!AC73+'6_Throughput'!AC16)</f>
        <v>5027178.8340284592</v>
      </c>
      <c r="AD46" s="12"/>
      <c r="AE46" s="12"/>
      <c r="AF46" s="12"/>
      <c r="AG46" s="12"/>
      <c r="AH46" s="12"/>
    </row>
    <row r="47" spans="2:34" s="30" customFormat="1" x14ac:dyDescent="0.3">
      <c r="B47" s="95"/>
      <c r="C47" s="30" t="str">
        <f t="shared" si="13"/>
        <v>Electricity</v>
      </c>
      <c r="D47" s="12"/>
      <c r="F47" s="12">
        <f t="shared" si="14"/>
        <v>0</v>
      </c>
      <c r="G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row>
    <row r="48" spans="2:34" s="30" customFormat="1" x14ac:dyDescent="0.3">
      <c r="B48" s="95"/>
      <c r="C48" s="30">
        <f t="shared" si="13"/>
        <v>0</v>
      </c>
      <c r="D48" s="12"/>
      <c r="F48" s="12">
        <f t="shared" si="14"/>
        <v>0</v>
      </c>
      <c r="G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row>
    <row r="49" spans="3:34" s="31" customFormat="1" x14ac:dyDescent="0.3">
      <c r="C49" s="31" t="s">
        <v>7</v>
      </c>
      <c r="D49" s="15" t="s">
        <v>13</v>
      </c>
      <c r="F49" s="15">
        <f t="shared" si="14"/>
        <v>515308619.08107388</v>
      </c>
      <c r="G49" s="15"/>
      <c r="I49" s="15">
        <f t="shared" ref="I49:AC49" si="15">SUM(I43:I48)</f>
        <v>21507328.0266</v>
      </c>
      <c r="J49" s="15">
        <f t="shared" si="15"/>
        <v>22349069.096276153</v>
      </c>
      <c r="K49" s="15">
        <f t="shared" si="15"/>
        <v>23190810.165952306</v>
      </c>
      <c r="L49" s="15">
        <f t="shared" si="15"/>
        <v>24032551.23562846</v>
      </c>
      <c r="M49" s="15">
        <f t="shared" si="15"/>
        <v>24032551.23562846</v>
      </c>
      <c r="N49" s="15">
        <f t="shared" si="15"/>
        <v>24032551.23562846</v>
      </c>
      <c r="O49" s="15">
        <f t="shared" si="15"/>
        <v>24032551.23562846</v>
      </c>
      <c r="P49" s="15">
        <f t="shared" si="15"/>
        <v>25152229.060695127</v>
      </c>
      <c r="Q49" s="15">
        <f t="shared" si="15"/>
        <v>25152229.060695127</v>
      </c>
      <c r="R49" s="15">
        <f t="shared" si="15"/>
        <v>25152229.060695127</v>
      </c>
      <c r="S49" s="15">
        <f t="shared" si="15"/>
        <v>25152229.060695127</v>
      </c>
      <c r="T49" s="15">
        <f t="shared" si="15"/>
        <v>25152229.060695127</v>
      </c>
      <c r="U49" s="15">
        <f t="shared" si="15"/>
        <v>25152229.060695127</v>
      </c>
      <c r="V49" s="15">
        <f t="shared" si="15"/>
        <v>25152229.060695127</v>
      </c>
      <c r="W49" s="15">
        <f t="shared" si="15"/>
        <v>25152229.060695127</v>
      </c>
      <c r="X49" s="15">
        <f t="shared" si="15"/>
        <v>25152229.060695127</v>
      </c>
      <c r="Y49" s="15">
        <f t="shared" si="15"/>
        <v>25152229.060695127</v>
      </c>
      <c r="Z49" s="15">
        <f t="shared" si="15"/>
        <v>25152229.060695127</v>
      </c>
      <c r="AA49" s="15">
        <f t="shared" si="15"/>
        <v>25152229.060695127</v>
      </c>
      <c r="AB49" s="15">
        <f t="shared" si="15"/>
        <v>25152229.060695127</v>
      </c>
      <c r="AC49" s="15">
        <f t="shared" si="15"/>
        <v>25152229.060695127</v>
      </c>
      <c r="AD49" s="15"/>
      <c r="AE49" s="15"/>
      <c r="AF49" s="15"/>
      <c r="AG49" s="15"/>
      <c r="AH49" s="15"/>
    </row>
    <row r="50" spans="3:34" s="25" customFormat="1" x14ac:dyDescent="0.3">
      <c r="C50" s="25" t="s">
        <v>96</v>
      </c>
      <c r="D50" s="25" t="s">
        <v>13</v>
      </c>
      <c r="F50" s="26">
        <f>SUM(H50:AG50)</f>
        <v>280324855.19953054</v>
      </c>
      <c r="G50" s="26"/>
      <c r="H50" s="26"/>
      <c r="I50" s="28">
        <f>I49/'1_MODEL_assumptions'!I$132</f>
        <v>21507328.0266</v>
      </c>
      <c r="J50" s="28">
        <f>J49/'1_MODEL_assumptions'!J$132</f>
        <v>20886980.463809486</v>
      </c>
      <c r="K50" s="28">
        <f>K49/'1_MODEL_assumptions'!K$132</f>
        <v>20255751.738974851</v>
      </c>
      <c r="L50" s="28">
        <f>L49/'1_MODEL_assumptions'!L$132</f>
        <v>19617720.549914133</v>
      </c>
      <c r="M50" s="28">
        <f>M49/'1_MODEL_assumptions'!M$132</f>
        <v>18334318.270947788</v>
      </c>
      <c r="N50" s="28">
        <f>N49/'1_MODEL_assumptions'!N$132</f>
        <v>17134876.888736248</v>
      </c>
      <c r="O50" s="28">
        <f>O49/'1_MODEL_assumptions'!O$132</f>
        <v>16013903.634332944</v>
      </c>
      <c r="P50" s="28">
        <f>P49/'1_MODEL_assumptions'!P$132</f>
        <v>15663544.155370001</v>
      </c>
      <c r="Q50" s="28">
        <f>Q49/'1_MODEL_assumptions'!Q$132</f>
        <v>14638826.313429909</v>
      </c>
      <c r="R50" s="28">
        <f>R49/'1_MODEL_assumptions'!R$132</f>
        <v>13681146.08731767</v>
      </c>
      <c r="S50" s="28">
        <f>S49/'1_MODEL_assumptions'!S$132</f>
        <v>12786117.838614646</v>
      </c>
      <c r="T50" s="28">
        <f>T49/'1_MODEL_assumptions'!T$132</f>
        <v>11949642.83982677</v>
      </c>
      <c r="U50" s="28">
        <f>U49/'1_MODEL_assumptions'!U$132</f>
        <v>11167890.504511002</v>
      </c>
      <c r="V50" s="28">
        <f>V49/'1_MODEL_assumptions'!V$132</f>
        <v>10437280.845337383</v>
      </c>
      <c r="W50" s="28">
        <f>W49/'1_MODEL_assumptions'!W$132</f>
        <v>9754468.0797545649</v>
      </c>
      <c r="X50" s="28">
        <f>X49/'1_MODEL_assumptions'!X$132</f>
        <v>9116325.3081818353</v>
      </c>
      <c r="Y50" s="28">
        <f>Y49/'1_MODEL_assumptions'!Y$132</f>
        <v>8519930.194562465</v>
      </c>
      <c r="Z50" s="28">
        <f>Z49/'1_MODEL_assumptions'!Z$132</f>
        <v>7962551.5837032376</v>
      </c>
      <c r="AA50" s="28">
        <f>AA49/'1_MODEL_assumptions'!AA$132</f>
        <v>7441636.9941151747</v>
      </c>
      <c r="AB50" s="28">
        <f>AB49/'1_MODEL_assumptions'!AB$132</f>
        <v>6954800.9290796025</v>
      </c>
      <c r="AC50" s="28">
        <f>AC49/'1_MODEL_assumptions'!AC$132</f>
        <v>6499813.9524108442</v>
      </c>
      <c r="AD50" s="28"/>
      <c r="AE50" s="28"/>
      <c r="AF50" s="28"/>
      <c r="AG50" s="28"/>
      <c r="AH50" s="28"/>
    </row>
    <row r="51" spans="3:34" x14ac:dyDescent="0.3">
      <c r="F51" s="13"/>
      <c r="G51" s="13"/>
    </row>
    <row r="52" spans="3:34" x14ac:dyDescent="0.3">
      <c r="D52" s="12"/>
      <c r="F52" s="24">
        <f>F50-F29</f>
        <v>89250864.917432815</v>
      </c>
      <c r="G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row>
    <row r="53" spans="3:34" x14ac:dyDescent="0.3">
      <c r="F53" s="13"/>
    </row>
    <row r="54" spans="3:34" x14ac:dyDescent="0.3">
      <c r="F54" s="24">
        <f>F52-F53</f>
        <v>89250864.917432815</v>
      </c>
    </row>
    <row r="55" spans="3:34" x14ac:dyDescent="0.3">
      <c r="F55" s="13">
        <f>SUM(F46:F47)-SUM(F25:F26)</f>
        <v>69815310.28704977</v>
      </c>
    </row>
  </sheetData>
  <mergeCells count="4">
    <mergeCell ref="B43:B48"/>
    <mergeCell ref="B3:B15"/>
    <mergeCell ref="B19:B26"/>
    <mergeCell ref="B32:B3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6BCA6-9B66-4A1A-910E-51D6628A2425}">
  <dimension ref="A1:AH69"/>
  <sheetViews>
    <sheetView workbookViewId="0">
      <selection activeCell="A64" sqref="A64:XFD73"/>
    </sheetView>
    <sheetView tabSelected="1" workbookViewId="1">
      <selection activeCell="I24" sqref="I24"/>
    </sheetView>
  </sheetViews>
  <sheetFormatPr defaultRowHeight="14.4" x14ac:dyDescent="0.3"/>
  <cols>
    <col min="1" max="1" width="6.5546875" customWidth="1"/>
    <col min="2" max="2" width="3" customWidth="1"/>
    <col min="3" max="3" width="6.44140625" customWidth="1"/>
    <col min="4" max="4" width="40" customWidth="1"/>
    <col min="5" max="5" width="8.88671875" customWidth="1"/>
    <col min="6" max="6" width="12.5546875" customWidth="1"/>
    <col min="7" max="7" width="18" bestFit="1" customWidth="1"/>
    <col min="8" max="8" width="13.33203125" hidden="1" customWidth="1"/>
    <col min="9" max="9" width="13.6640625" customWidth="1"/>
    <col min="10" max="10" width="15.33203125" bestFit="1" customWidth="1"/>
    <col min="11" max="12" width="13.88671875" customWidth="1"/>
    <col min="13" max="13" width="12.88671875" customWidth="1"/>
    <col min="14" max="14" width="13.88671875" customWidth="1"/>
    <col min="15" max="15" width="14.6640625" customWidth="1"/>
    <col min="16" max="33" width="12.88671875" customWidth="1"/>
    <col min="34" max="34" width="12.88671875" style="30" customWidth="1"/>
  </cols>
  <sheetData>
    <row r="1" spans="1:34" x14ac:dyDescent="0.3">
      <c r="A1" s="31" t="s">
        <v>114</v>
      </c>
      <c r="H1">
        <v>-1</v>
      </c>
      <c r="I1">
        <v>0</v>
      </c>
      <c r="J1">
        <f t="shared" ref="J1:AG1" si="0">I1+1</f>
        <v>1</v>
      </c>
      <c r="K1">
        <f t="shared" si="0"/>
        <v>2</v>
      </c>
      <c r="L1">
        <f t="shared" si="0"/>
        <v>3</v>
      </c>
      <c r="M1">
        <f t="shared" si="0"/>
        <v>4</v>
      </c>
      <c r="N1">
        <f t="shared" si="0"/>
        <v>5</v>
      </c>
      <c r="O1">
        <f t="shared" si="0"/>
        <v>6</v>
      </c>
      <c r="P1">
        <f t="shared" si="0"/>
        <v>7</v>
      </c>
      <c r="Q1">
        <f t="shared" si="0"/>
        <v>8</v>
      </c>
      <c r="R1">
        <f t="shared" si="0"/>
        <v>9</v>
      </c>
      <c r="S1">
        <f t="shared" si="0"/>
        <v>10</v>
      </c>
      <c r="T1">
        <f t="shared" si="0"/>
        <v>11</v>
      </c>
      <c r="U1">
        <f t="shared" si="0"/>
        <v>12</v>
      </c>
      <c r="V1">
        <f t="shared" si="0"/>
        <v>13</v>
      </c>
      <c r="W1">
        <f t="shared" si="0"/>
        <v>14</v>
      </c>
      <c r="X1">
        <f t="shared" si="0"/>
        <v>15</v>
      </c>
      <c r="Y1">
        <f t="shared" si="0"/>
        <v>16</v>
      </c>
      <c r="Z1">
        <f t="shared" si="0"/>
        <v>17</v>
      </c>
      <c r="AA1">
        <f t="shared" si="0"/>
        <v>18</v>
      </c>
      <c r="AB1">
        <f t="shared" si="0"/>
        <v>19</v>
      </c>
      <c r="AC1">
        <f t="shared" si="0"/>
        <v>20</v>
      </c>
      <c r="AD1">
        <f t="shared" si="0"/>
        <v>21</v>
      </c>
      <c r="AE1">
        <f t="shared" si="0"/>
        <v>22</v>
      </c>
      <c r="AF1">
        <f t="shared" si="0"/>
        <v>23</v>
      </c>
      <c r="AG1">
        <f t="shared" si="0"/>
        <v>24</v>
      </c>
      <c r="AH1" s="30">
        <f>AG1+1</f>
        <v>25</v>
      </c>
    </row>
    <row r="2" spans="1:34" s="31" customFormat="1" x14ac:dyDescent="0.3">
      <c r="A2" s="31" t="s">
        <v>471</v>
      </c>
      <c r="E2" s="31" t="s">
        <v>3</v>
      </c>
      <c r="F2" s="31" t="s">
        <v>4</v>
      </c>
      <c r="H2" s="31">
        <v>2019</v>
      </c>
      <c r="I2" s="31">
        <v>2023</v>
      </c>
      <c r="J2" s="31">
        <f t="shared" ref="J2:AH2" si="1">I2+1</f>
        <v>2024</v>
      </c>
      <c r="K2" s="31">
        <f t="shared" si="1"/>
        <v>2025</v>
      </c>
      <c r="L2" s="31">
        <f t="shared" si="1"/>
        <v>2026</v>
      </c>
      <c r="M2" s="31">
        <f t="shared" si="1"/>
        <v>2027</v>
      </c>
      <c r="N2" s="31">
        <f t="shared" si="1"/>
        <v>2028</v>
      </c>
      <c r="O2" s="31">
        <f t="shared" si="1"/>
        <v>2029</v>
      </c>
      <c r="P2" s="31">
        <f t="shared" si="1"/>
        <v>2030</v>
      </c>
      <c r="Q2" s="31">
        <f t="shared" si="1"/>
        <v>2031</v>
      </c>
      <c r="R2" s="31">
        <f t="shared" si="1"/>
        <v>2032</v>
      </c>
      <c r="S2" s="31">
        <f t="shared" si="1"/>
        <v>2033</v>
      </c>
      <c r="T2" s="31">
        <f t="shared" si="1"/>
        <v>2034</v>
      </c>
      <c r="U2" s="31">
        <f t="shared" si="1"/>
        <v>2035</v>
      </c>
      <c r="V2" s="31">
        <f t="shared" si="1"/>
        <v>2036</v>
      </c>
      <c r="W2" s="31">
        <f t="shared" si="1"/>
        <v>2037</v>
      </c>
      <c r="X2" s="31">
        <f t="shared" si="1"/>
        <v>2038</v>
      </c>
      <c r="Y2" s="31">
        <f t="shared" si="1"/>
        <v>2039</v>
      </c>
      <c r="Z2" s="31">
        <f t="shared" si="1"/>
        <v>2040</v>
      </c>
      <c r="AA2" s="31">
        <f t="shared" si="1"/>
        <v>2041</v>
      </c>
      <c r="AB2" s="31">
        <f t="shared" si="1"/>
        <v>2042</v>
      </c>
      <c r="AC2" s="31">
        <f t="shared" si="1"/>
        <v>2043</v>
      </c>
      <c r="AD2" s="31">
        <f t="shared" si="1"/>
        <v>2044</v>
      </c>
      <c r="AE2" s="31">
        <f t="shared" si="1"/>
        <v>2045</v>
      </c>
      <c r="AF2" s="31">
        <f t="shared" si="1"/>
        <v>2046</v>
      </c>
      <c r="AG2" s="31">
        <f t="shared" si="1"/>
        <v>2047</v>
      </c>
      <c r="AH2" s="31">
        <f t="shared" si="1"/>
        <v>2048</v>
      </c>
    </row>
    <row r="3" spans="1:34" s="31" customFormat="1" x14ac:dyDescent="0.3">
      <c r="B3" s="31" t="s">
        <v>313</v>
      </c>
    </row>
    <row r="4" spans="1:34" s="33" customFormat="1" x14ac:dyDescent="0.3">
      <c r="C4" s="33" t="s">
        <v>312</v>
      </c>
      <c r="G4" s="69">
        <f t="shared" ref="G4:G10" si="2">SUM(I4:AC4)</f>
        <v>6412128.6155555565</v>
      </c>
      <c r="I4" s="68">
        <f>'4_Emissions'!I53</f>
        <v>666624.75555555557</v>
      </c>
      <c r="J4" s="68">
        <f>'4_Emissions'!J53</f>
        <v>413728.92666666664</v>
      </c>
      <c r="K4" s="68">
        <f>'4_Emissions'!K53</f>
        <v>280619.73333333328</v>
      </c>
      <c r="L4" s="68">
        <f>'4_Emissions'!L53</f>
        <v>280619.73333333328</v>
      </c>
      <c r="M4" s="68">
        <f>'4_Emissions'!M53</f>
        <v>280619.73333333328</v>
      </c>
      <c r="N4" s="68">
        <f>'4_Emissions'!N53</f>
        <v>280619.73333333328</v>
      </c>
      <c r="O4" s="68">
        <f>'4_Emissions'!O53</f>
        <v>280619.73333333328</v>
      </c>
      <c r="P4" s="68">
        <f>'4_Emissions'!P53</f>
        <v>280619.73333333328</v>
      </c>
      <c r="Q4" s="68">
        <f>'4_Emissions'!Q53</f>
        <v>280619.73333333328</v>
      </c>
      <c r="R4" s="68">
        <f>'4_Emissions'!R53</f>
        <v>280619.73333333328</v>
      </c>
      <c r="S4" s="68">
        <f>'4_Emissions'!S53</f>
        <v>280619.73333333328</v>
      </c>
      <c r="T4" s="68">
        <f>'4_Emissions'!T53</f>
        <v>280619.73333333328</v>
      </c>
      <c r="U4" s="68">
        <f>'4_Emissions'!U53</f>
        <v>280619.73333333328</v>
      </c>
      <c r="V4" s="68">
        <f>'4_Emissions'!V53</f>
        <v>280619.73333333328</v>
      </c>
      <c r="W4" s="68">
        <f>'4_Emissions'!W53</f>
        <v>280619.73333333328</v>
      </c>
      <c r="X4" s="68">
        <f>'4_Emissions'!X53</f>
        <v>280619.73333333328</v>
      </c>
      <c r="Y4" s="68">
        <f>'4_Emissions'!Y53</f>
        <v>280619.73333333328</v>
      </c>
      <c r="Z4" s="68">
        <f>'4_Emissions'!Z53</f>
        <v>280619.73333333328</v>
      </c>
      <c r="AA4" s="68">
        <f>'4_Emissions'!AA53</f>
        <v>280619.73333333328</v>
      </c>
      <c r="AB4" s="68">
        <f>'4_Emissions'!AB53</f>
        <v>280619.73333333328</v>
      </c>
      <c r="AC4" s="68">
        <f>'4_Emissions'!AC53</f>
        <v>280619.73333333328</v>
      </c>
    </row>
    <row r="5" spans="1:34" s="33" customFormat="1" x14ac:dyDescent="0.3">
      <c r="C5" s="33" t="s">
        <v>379</v>
      </c>
      <c r="G5" s="69">
        <f t="shared" si="2"/>
        <v>126694347.46176477</v>
      </c>
      <c r="I5" s="69">
        <f>'4_Emissions'!I54</f>
        <v>1859765.0411764707</v>
      </c>
      <c r="J5" s="69">
        <f>'4_Emissions'!J54</f>
        <v>4732510.5303921569</v>
      </c>
      <c r="K5" s="69">
        <f>'4_Emissions'!K54</f>
        <v>6321161.6784313731</v>
      </c>
      <c r="L5" s="69">
        <f>'4_Emissions'!L54</f>
        <v>6321161.6784313731</v>
      </c>
      <c r="M5" s="69">
        <f>'4_Emissions'!M54</f>
        <v>6321161.6784313731</v>
      </c>
      <c r="N5" s="69">
        <f>'4_Emissions'!N54</f>
        <v>6321161.6784313731</v>
      </c>
      <c r="O5" s="69">
        <f>'4_Emissions'!O54</f>
        <v>6321161.6784313731</v>
      </c>
      <c r="P5" s="69">
        <f>'4_Emissions'!P54</f>
        <v>6321161.6784313731</v>
      </c>
      <c r="Q5" s="69">
        <f>'4_Emissions'!Q54</f>
        <v>6321161.6784313731</v>
      </c>
      <c r="R5" s="69">
        <f>'4_Emissions'!R54</f>
        <v>6321161.6784313731</v>
      </c>
      <c r="S5" s="69">
        <f>'4_Emissions'!S54</f>
        <v>6321161.6784313731</v>
      </c>
      <c r="T5" s="69">
        <f>'4_Emissions'!T54</f>
        <v>6321161.6784313731</v>
      </c>
      <c r="U5" s="69">
        <f>'4_Emissions'!U54</f>
        <v>6321161.6784313731</v>
      </c>
      <c r="V5" s="69">
        <f>'4_Emissions'!V54</f>
        <v>6321161.6784313731</v>
      </c>
      <c r="W5" s="69">
        <f>'4_Emissions'!W54</f>
        <v>6321161.6784313731</v>
      </c>
      <c r="X5" s="69">
        <f>'4_Emissions'!X54</f>
        <v>6321161.6784313731</v>
      </c>
      <c r="Y5" s="69">
        <f>'4_Emissions'!Y54</f>
        <v>6321161.6784313731</v>
      </c>
      <c r="Z5" s="69">
        <f>'4_Emissions'!Z54</f>
        <v>6321161.6784313731</v>
      </c>
      <c r="AA5" s="69">
        <f>'4_Emissions'!AA54</f>
        <v>6321161.6784313731</v>
      </c>
      <c r="AB5" s="69">
        <f>'4_Emissions'!AB54</f>
        <v>6321161.6784313731</v>
      </c>
      <c r="AC5" s="69">
        <f>'4_Emissions'!AC54</f>
        <v>6321161.6784313731</v>
      </c>
    </row>
    <row r="6" spans="1:34" s="12" customFormat="1" x14ac:dyDescent="0.3">
      <c r="C6" s="33" t="s">
        <v>380</v>
      </c>
      <c r="E6" s="33" t="s">
        <v>381</v>
      </c>
      <c r="G6" s="69">
        <f t="shared" si="2"/>
        <v>172.57928213033324</v>
      </c>
      <c r="I6" s="86">
        <f>'4_Emissions'!I114</f>
        <v>76.502798299683292</v>
      </c>
      <c r="J6" s="86">
        <f>'4_Emissions'!J114</f>
        <v>40.373058900561034</v>
      </c>
      <c r="K6" s="86">
        <f>'4_Emissions'!K114</f>
        <v>15.699203770437238</v>
      </c>
      <c r="L6" s="86">
        <f>'4_Emissions'!L114</f>
        <v>10.978315682532193</v>
      </c>
      <c r="M6" s="86">
        <f>'4_Emissions'!M114</f>
        <v>6.2574202723369341</v>
      </c>
      <c r="N6" s="86">
        <f>'4_Emissions'!N114</f>
        <v>2.9023111266333821</v>
      </c>
      <c r="O6" s="86">
        <f>'4_Emissions'!O114</f>
        <v>1.3244116052099479</v>
      </c>
      <c r="P6" s="86">
        <f>'4_Emissions'!P114</f>
        <v>1.3244116052099479</v>
      </c>
      <c r="Q6" s="86">
        <f>'4_Emissions'!Q114</f>
        <v>1.3244116052099479</v>
      </c>
      <c r="R6" s="86">
        <f>'4_Emissions'!R114</f>
        <v>1.3244116052099479</v>
      </c>
      <c r="S6" s="86">
        <f>'4_Emissions'!S114</f>
        <v>1.3244116052099479</v>
      </c>
      <c r="T6" s="86">
        <f>'4_Emissions'!T114</f>
        <v>1.3244116052099479</v>
      </c>
      <c r="U6" s="86">
        <f>'4_Emissions'!U114</f>
        <v>1.3244116052099479</v>
      </c>
      <c r="V6" s="86">
        <f>'4_Emissions'!V114</f>
        <v>1.3244116052099479</v>
      </c>
      <c r="W6" s="86">
        <f>'4_Emissions'!W114</f>
        <v>1.3244116052099479</v>
      </c>
      <c r="X6" s="86">
        <f>'4_Emissions'!X114</f>
        <v>1.3244116052099479</v>
      </c>
      <c r="Y6" s="86">
        <f>'4_Emissions'!Y114</f>
        <v>1.3244116052099479</v>
      </c>
      <c r="Z6" s="86">
        <f>'4_Emissions'!Z114</f>
        <v>1.3244116052099479</v>
      </c>
      <c r="AA6" s="86">
        <f>'4_Emissions'!AA114</f>
        <v>1.3244116052099479</v>
      </c>
      <c r="AB6" s="86">
        <f>'4_Emissions'!AB114</f>
        <v>1.3244116052099479</v>
      </c>
      <c r="AC6" s="86">
        <f>'4_Emissions'!AC114</f>
        <v>1.3244116052099479</v>
      </c>
    </row>
    <row r="7" spans="1:34" s="31" customFormat="1" x14ac:dyDescent="0.3">
      <c r="B7" s="12"/>
      <c r="C7" s="33" t="s">
        <v>373</v>
      </c>
      <c r="E7" s="33" t="s">
        <v>381</v>
      </c>
      <c r="G7" s="69">
        <f t="shared" si="2"/>
        <v>7.091829435464394</v>
      </c>
      <c r="I7" s="69">
        <f>'4_Emissions'!I131</f>
        <v>1.1446898467078159</v>
      </c>
      <c r="J7" s="69">
        <f>'4_Emissions'!J131</f>
        <v>0.8954763282317304</v>
      </c>
      <c r="K7" s="69">
        <f>'4_Emissions'!K131</f>
        <v>0.49870112279017759</v>
      </c>
      <c r="L7" s="69">
        <f>'4_Emissions'!L131</f>
        <v>0.41454922142628142</v>
      </c>
      <c r="M7" s="69">
        <f>'4_Emissions'!M131</f>
        <v>0.32697713006029006</v>
      </c>
      <c r="N7" s="69">
        <f>'4_Emissions'!N131</f>
        <v>0.26661224753687668</v>
      </c>
      <c r="O7" s="69">
        <f>'4_Emissions'!O131</f>
        <v>0.23632156924741482</v>
      </c>
      <c r="P7" s="69">
        <f>'4_Emissions'!P131</f>
        <v>0.23632156924741482</v>
      </c>
      <c r="Q7" s="69">
        <f>'4_Emissions'!Q131</f>
        <v>0.23632156924741482</v>
      </c>
      <c r="R7" s="69">
        <f>'4_Emissions'!R131</f>
        <v>0.23632156924741482</v>
      </c>
      <c r="S7" s="69">
        <f>'4_Emissions'!S131</f>
        <v>0.23632156924741482</v>
      </c>
      <c r="T7" s="69">
        <f>'4_Emissions'!T131</f>
        <v>0.23632156924741482</v>
      </c>
      <c r="U7" s="69">
        <f>'4_Emissions'!U131</f>
        <v>0.23632156924741482</v>
      </c>
      <c r="V7" s="69">
        <f>'4_Emissions'!V131</f>
        <v>0.23632156924741482</v>
      </c>
      <c r="W7" s="69">
        <f>'4_Emissions'!W131</f>
        <v>0.23632156924741482</v>
      </c>
      <c r="X7" s="69">
        <f>'4_Emissions'!X131</f>
        <v>0.23632156924741482</v>
      </c>
      <c r="Y7" s="69">
        <f>'4_Emissions'!Y131</f>
        <v>0.23632156924741482</v>
      </c>
      <c r="Z7" s="69">
        <f>'4_Emissions'!Z131</f>
        <v>0.23632156924741482</v>
      </c>
      <c r="AA7" s="69">
        <f>'4_Emissions'!AA131</f>
        <v>0.23632156924741482</v>
      </c>
      <c r="AB7" s="69">
        <f>'4_Emissions'!AB131</f>
        <v>0.23632156924741482</v>
      </c>
      <c r="AC7" s="69">
        <f>'4_Emissions'!AC131</f>
        <v>0.23632156924741482</v>
      </c>
    </row>
    <row r="8" spans="1:34" s="31" customFormat="1" x14ac:dyDescent="0.3">
      <c r="B8" s="12"/>
      <c r="C8" s="33" t="s">
        <v>374</v>
      </c>
      <c r="E8" s="33" t="s">
        <v>381</v>
      </c>
      <c r="G8" s="69">
        <f t="shared" si="2"/>
        <v>10.137562062615316</v>
      </c>
      <c r="I8" s="69">
        <f>'4_Emissions'!I148</f>
        <v>0.2833347813682876</v>
      </c>
      <c r="J8" s="69">
        <f>'4_Emissions'!J148</f>
        <v>0.42771817564632897</v>
      </c>
      <c r="K8" s="69">
        <f>'4_Emissions'!K148</f>
        <v>0.49590223545558776</v>
      </c>
      <c r="L8" s="69">
        <f>'4_Emissions'!L148</f>
        <v>0.4959778630739794</v>
      </c>
      <c r="M8" s="69">
        <f>'4_Emissions'!M148</f>
        <v>0.49605398176778415</v>
      </c>
      <c r="N8" s="69">
        <f>'4_Emissions'!N148</f>
        <v>0.49612862950044551</v>
      </c>
      <c r="O8" s="69">
        <f>'4_Emissions'!O148</f>
        <v>0.49616309305352679</v>
      </c>
      <c r="P8" s="69">
        <f>'4_Emissions'!P148</f>
        <v>0.49616309305352679</v>
      </c>
      <c r="Q8" s="69">
        <f>'4_Emissions'!Q148</f>
        <v>0.49616309305352679</v>
      </c>
      <c r="R8" s="69">
        <f>'4_Emissions'!R148</f>
        <v>0.49616309305352679</v>
      </c>
      <c r="S8" s="69">
        <f>'4_Emissions'!S148</f>
        <v>0.49616309305352679</v>
      </c>
      <c r="T8" s="69">
        <f>'4_Emissions'!T148</f>
        <v>0.49616309305352679</v>
      </c>
      <c r="U8" s="69">
        <f>'4_Emissions'!U148</f>
        <v>0.49616309305352679</v>
      </c>
      <c r="V8" s="69">
        <f>'4_Emissions'!V148</f>
        <v>0.49616309305352679</v>
      </c>
      <c r="W8" s="69">
        <f>'4_Emissions'!W148</f>
        <v>0.49616309305352679</v>
      </c>
      <c r="X8" s="69">
        <f>'4_Emissions'!X148</f>
        <v>0.49616309305352679</v>
      </c>
      <c r="Y8" s="69">
        <f>'4_Emissions'!Y148</f>
        <v>0.49616309305352679</v>
      </c>
      <c r="Z8" s="69">
        <f>'4_Emissions'!Z148</f>
        <v>0.49616309305352679</v>
      </c>
      <c r="AA8" s="69">
        <f>'4_Emissions'!AA148</f>
        <v>0.49616309305352679</v>
      </c>
      <c r="AB8" s="69">
        <f>'4_Emissions'!AB148</f>
        <v>0.49616309305352679</v>
      </c>
      <c r="AC8" s="69">
        <f>'4_Emissions'!AC148</f>
        <v>0.49616309305352679</v>
      </c>
    </row>
    <row r="9" spans="1:34" s="31" customFormat="1" x14ac:dyDescent="0.3">
      <c r="B9" s="12"/>
      <c r="C9" s="33" t="s">
        <v>375</v>
      </c>
      <c r="E9" s="33" t="s">
        <v>382</v>
      </c>
      <c r="G9" s="69">
        <f t="shared" si="2"/>
        <v>113330.83151626201</v>
      </c>
      <c r="I9" s="69">
        <f>'4_Emissions'!I165</f>
        <v>7497.3767737061289</v>
      </c>
      <c r="J9" s="69">
        <f>'4_Emissions'!J165</f>
        <v>6008.551165102218</v>
      </c>
      <c r="K9" s="69">
        <f>'4_Emissions'!K165</f>
        <v>5253.9422935501925</v>
      </c>
      <c r="L9" s="69">
        <f>'4_Emissions'!L165</f>
        <v>5253.9422935501925</v>
      </c>
      <c r="M9" s="69">
        <f>'4_Emissions'!M165</f>
        <v>5253.9422935501925</v>
      </c>
      <c r="N9" s="69">
        <f>'4_Emissions'!N165</f>
        <v>5253.9422935501925</v>
      </c>
      <c r="O9" s="69">
        <f>'4_Emissions'!O165</f>
        <v>5253.9422935501925</v>
      </c>
      <c r="P9" s="69">
        <f>'4_Emissions'!P165</f>
        <v>5253.9422935501925</v>
      </c>
      <c r="Q9" s="69">
        <f>'4_Emissions'!Q165</f>
        <v>5253.9422935501925</v>
      </c>
      <c r="R9" s="69">
        <f>'4_Emissions'!R165</f>
        <v>5253.9422935501925</v>
      </c>
      <c r="S9" s="69">
        <f>'4_Emissions'!S165</f>
        <v>5253.9422935501925</v>
      </c>
      <c r="T9" s="69">
        <f>'4_Emissions'!T165</f>
        <v>5253.9422935501925</v>
      </c>
      <c r="U9" s="69">
        <f>'4_Emissions'!U165</f>
        <v>5253.9422935501925</v>
      </c>
      <c r="V9" s="69">
        <f>'4_Emissions'!V165</f>
        <v>5253.9422935501925</v>
      </c>
      <c r="W9" s="69">
        <f>'4_Emissions'!W165</f>
        <v>5253.9422935501925</v>
      </c>
      <c r="X9" s="69">
        <f>'4_Emissions'!X165</f>
        <v>5253.9422935501925</v>
      </c>
      <c r="Y9" s="69">
        <f>'4_Emissions'!Y165</f>
        <v>5253.9422935501925</v>
      </c>
      <c r="Z9" s="69">
        <f>'4_Emissions'!Z165</f>
        <v>5253.9422935501925</v>
      </c>
      <c r="AA9" s="69">
        <f>'4_Emissions'!AA165</f>
        <v>5253.9422935501925</v>
      </c>
      <c r="AB9" s="69">
        <f>'4_Emissions'!AB165</f>
        <v>5253.9422935501925</v>
      </c>
      <c r="AC9" s="69">
        <f>'4_Emissions'!AC165</f>
        <v>5253.9422935501925</v>
      </c>
    </row>
    <row r="10" spans="1:34" s="31" customFormat="1" x14ac:dyDescent="0.3">
      <c r="C10" s="33" t="s">
        <v>383</v>
      </c>
      <c r="E10" s="33" t="s">
        <v>390</v>
      </c>
      <c r="G10" s="12">
        <f t="shared" si="2"/>
        <v>2576587.3618661617</v>
      </c>
      <c r="I10" s="71">
        <f>I6*'7_PARAMS'!I$30</f>
        <v>1111252.6307716139</v>
      </c>
      <c r="J10" s="71">
        <f>J6*'7_PARAMS'!J$30</f>
        <v>593775.35559608613</v>
      </c>
      <c r="K10" s="71">
        <f>K6*'7_PARAMS'!K$30</f>
        <v>235167.37377413933</v>
      </c>
      <c r="L10" s="71">
        <f>L6*'7_PARAMS'!L$30</f>
        <v>167440.49338769028</v>
      </c>
      <c r="M10" s="71">
        <f>M6*'7_PARAMS'!M$30</f>
        <v>97141.976084395443</v>
      </c>
      <c r="N10" s="71">
        <f>N6*'7_PARAMS'!N$30</f>
        <v>45846.766775688469</v>
      </c>
      <c r="O10" s="71">
        <f>O6*'7_PARAMS'!O$30</f>
        <v>21281.965875820319</v>
      </c>
      <c r="P10" s="71">
        <f>P6*'7_PARAMS'!P$30</f>
        <v>21762.914257194789</v>
      </c>
      <c r="Q10" s="71">
        <f>Q6*'7_PARAMS'!Q$30</f>
        <v>21762.914257194789</v>
      </c>
      <c r="R10" s="71">
        <f>R6*'7_PARAMS'!R$30</f>
        <v>21762.914257194789</v>
      </c>
      <c r="S10" s="71">
        <f>S6*'7_PARAMS'!S$30</f>
        <v>21762.914257194789</v>
      </c>
      <c r="T10" s="71">
        <f>T6*'7_PARAMS'!T$30</f>
        <v>21762.914257194789</v>
      </c>
      <c r="U10" s="71">
        <f>U6*'7_PARAMS'!U$30</f>
        <v>21762.914257194789</v>
      </c>
      <c r="V10" s="71">
        <f>V6*'7_PARAMS'!V$30</f>
        <v>21762.914257194789</v>
      </c>
      <c r="W10" s="71">
        <f>W6*'7_PARAMS'!W$30</f>
        <v>21762.914257194789</v>
      </c>
      <c r="X10" s="71">
        <f>X6*'7_PARAMS'!X$30</f>
        <v>21762.914257194789</v>
      </c>
      <c r="Y10" s="71">
        <f>Y6*'7_PARAMS'!Y$30</f>
        <v>21762.914257194789</v>
      </c>
      <c r="Z10" s="71">
        <f>Z6*'7_PARAMS'!Z$30</f>
        <v>21762.914257194789</v>
      </c>
      <c r="AA10" s="71">
        <f>AA6*'7_PARAMS'!AA$30</f>
        <v>21762.914257194789</v>
      </c>
      <c r="AB10" s="71">
        <f>AB6*'7_PARAMS'!AB$30</f>
        <v>21762.914257194789</v>
      </c>
      <c r="AC10" s="71">
        <f>AC6*'7_PARAMS'!AC$30</f>
        <v>21762.914257194789</v>
      </c>
    </row>
    <row r="11" spans="1:34" s="25" customFormat="1" x14ac:dyDescent="0.3">
      <c r="D11" s="25" t="s">
        <v>96</v>
      </c>
      <c r="E11" s="25" t="s">
        <v>13</v>
      </c>
      <c r="G11" s="26">
        <f>SUM(I11:AH11)</f>
        <v>2256069.6425283067</v>
      </c>
      <c r="I11" s="27">
        <f>I10/'1_MODEL_assumptions'!I$132</f>
        <v>1111252.6307716139</v>
      </c>
      <c r="J11" s="27">
        <f>J10/'1_MODEL_assumptions'!J$132</f>
        <v>554930.23887484684</v>
      </c>
      <c r="K11" s="27">
        <f>K10/'1_MODEL_assumptions'!K$132</f>
        <v>205404.29188063528</v>
      </c>
      <c r="L11" s="27">
        <f>L10/'1_MODEL_assumptions'!L$132</f>
        <v>136681.31925792829</v>
      </c>
      <c r="M11" s="27">
        <f>M10/'1_MODEL_assumptions'!M$132</f>
        <v>74109.148443620492</v>
      </c>
      <c r="N11" s="27">
        <f>N10/'1_MODEL_assumptions'!N$132</f>
        <v>32688.111085076904</v>
      </c>
      <c r="O11" s="27">
        <f>O10/'1_MODEL_assumptions'!O$132</f>
        <v>14181.072468881244</v>
      </c>
      <c r="P11" s="27">
        <f>P10/'1_MODEL_assumptions'!P$132</f>
        <v>13552.849236324542</v>
      </c>
      <c r="Q11" s="27">
        <f>Q10/'1_MODEL_assumptions'!Q$132</f>
        <v>12666.214239555648</v>
      </c>
      <c r="R11" s="27">
        <f>R10/'1_MODEL_assumptions'!R$132</f>
        <v>11837.583401453874</v>
      </c>
      <c r="S11" s="27">
        <f>S10/'1_MODEL_assumptions'!S$132</f>
        <v>11063.162057433528</v>
      </c>
      <c r="T11" s="27">
        <f>T10/'1_MODEL_assumptions'!T$132</f>
        <v>10339.403791993951</v>
      </c>
      <c r="U11" s="27">
        <f>U10/'1_MODEL_assumptions'!U$132</f>
        <v>9662.9941981251886</v>
      </c>
      <c r="V11" s="27">
        <f>V10/'1_MODEL_assumptions'!V$132</f>
        <v>9030.8356991824185</v>
      </c>
      <c r="W11" s="27">
        <f>W10/'1_MODEL_assumptions'!W$132</f>
        <v>8440.0333637218882</v>
      </c>
      <c r="X11" s="27">
        <f>X10/'1_MODEL_assumptions'!X$132</f>
        <v>7887.8816483382116</v>
      </c>
      <c r="Y11" s="27">
        <f>Y10/'1_MODEL_assumptions'!Y$132</f>
        <v>7371.8520077927224</v>
      </c>
      <c r="Z11" s="27">
        <f>Z10/'1_MODEL_assumptions'!Z$132</f>
        <v>6889.5813156941331</v>
      </c>
      <c r="AA11" s="27">
        <f>AA10/'1_MODEL_assumptions'!AA$132</f>
        <v>6438.861042704797</v>
      </c>
      <c r="AB11" s="27">
        <f>AB10/'1_MODEL_assumptions'!AB$132</f>
        <v>6017.6271427147631</v>
      </c>
      <c r="AC11" s="27">
        <f>AC10/'1_MODEL_assumptions'!AC$132</f>
        <v>5623.9506006680031</v>
      </c>
      <c r="AD11" s="27">
        <f>AD10/'1_MODEL_assumptions'!AD$132</f>
        <v>0</v>
      </c>
      <c r="AE11" s="27">
        <f>AE10/'1_MODEL_assumptions'!AE$132</f>
        <v>0</v>
      </c>
      <c r="AF11" s="27">
        <f>AF10/'1_MODEL_assumptions'!AF$132</f>
        <v>0</v>
      </c>
      <c r="AG11" s="27">
        <f>AG10/'1_MODEL_assumptions'!AG$132</f>
        <v>0</v>
      </c>
      <c r="AH11" s="27">
        <f>AH10/'1_MODEL_assumptions'!AH$132</f>
        <v>0</v>
      </c>
    </row>
    <row r="12" spans="1:34" s="31" customFormat="1" x14ac:dyDescent="0.3">
      <c r="C12" s="33" t="s">
        <v>384</v>
      </c>
      <c r="E12" s="33" t="s">
        <v>390</v>
      </c>
      <c r="G12" s="12">
        <f>SUM(I12:AC12)</f>
        <v>5353522.6609641742</v>
      </c>
      <c r="I12" s="71">
        <f>I7*'7_PARAMS'!I$32</f>
        <v>805076.00930054032</v>
      </c>
      <c r="J12" s="71">
        <f>J7*'7_PARAMS'!J$32</f>
        <v>640694.41151105473</v>
      </c>
      <c r="K12" s="71">
        <f>K7*'7_PARAMS'!K$32</f>
        <v>362967.48991455778</v>
      </c>
      <c r="L12" s="71">
        <f>L7*'7_PARAMS'!L$32</f>
        <v>306536.85052356444</v>
      </c>
      <c r="M12" s="71">
        <f>M7*'7_PARAMS'!M$32</f>
        <v>245611.32765491059</v>
      </c>
      <c r="N12" s="71">
        <f>N7*'7_PARAMS'!N$32</f>
        <v>203462.78282296736</v>
      </c>
      <c r="O12" s="71">
        <f>O7*'7_PARAMS'!O$32</f>
        <v>183221.625181382</v>
      </c>
      <c r="P12" s="71">
        <f>P7*'7_PARAMS'!P$32</f>
        <v>186139.44028965692</v>
      </c>
      <c r="Q12" s="71">
        <f>Q7*'7_PARAMS'!Q$32</f>
        <v>186139.44028965692</v>
      </c>
      <c r="R12" s="71">
        <f>R7*'7_PARAMS'!R$32</f>
        <v>186139.44028965692</v>
      </c>
      <c r="S12" s="71">
        <f>S7*'7_PARAMS'!S$32</f>
        <v>186139.44028965692</v>
      </c>
      <c r="T12" s="71">
        <f>T7*'7_PARAMS'!T$32</f>
        <v>186139.44028965692</v>
      </c>
      <c r="U12" s="71">
        <f>U7*'7_PARAMS'!U$32</f>
        <v>186139.44028965692</v>
      </c>
      <c r="V12" s="71">
        <f>V7*'7_PARAMS'!V$32</f>
        <v>186139.44028965692</v>
      </c>
      <c r="W12" s="71">
        <f>W7*'7_PARAMS'!W$32</f>
        <v>186139.44028965692</v>
      </c>
      <c r="X12" s="71">
        <f>X7*'7_PARAMS'!X$32</f>
        <v>186139.44028965692</v>
      </c>
      <c r="Y12" s="71">
        <f>Y7*'7_PARAMS'!Y$32</f>
        <v>186139.44028965692</v>
      </c>
      <c r="Z12" s="71">
        <f>Z7*'7_PARAMS'!Z$32</f>
        <v>186139.44028965692</v>
      </c>
      <c r="AA12" s="71">
        <f>AA7*'7_PARAMS'!AA$32</f>
        <v>186139.44028965692</v>
      </c>
      <c r="AB12" s="71">
        <f>AB7*'7_PARAMS'!AB$32</f>
        <v>186139.44028965692</v>
      </c>
      <c r="AC12" s="71">
        <f>AC7*'7_PARAMS'!AC$32</f>
        <v>186139.44028965692</v>
      </c>
    </row>
    <row r="13" spans="1:34" s="25" customFormat="1" x14ac:dyDescent="0.3">
      <c r="D13" s="25" t="s">
        <v>96</v>
      </c>
      <c r="E13" s="25" t="s">
        <v>13</v>
      </c>
      <c r="G13" s="26">
        <f>SUM(I13:AH13)</f>
        <v>3510364.0971626882</v>
      </c>
      <c r="I13" s="27">
        <f>I12/'1_MODEL_assumptions'!I$132</f>
        <v>805076.00930054032</v>
      </c>
      <c r="J13" s="27">
        <f>J12/'1_MODEL_assumptions'!J$132</f>
        <v>598779.8238421072</v>
      </c>
      <c r="K13" s="27">
        <f>K12/'1_MODEL_assumptions'!K$132</f>
        <v>317029.86279549112</v>
      </c>
      <c r="L13" s="27">
        <f>L12/'1_MODEL_assumptions'!L$132</f>
        <v>250225.3802711941</v>
      </c>
      <c r="M13" s="27">
        <f>M12/'1_MODEL_assumptions'!M$132</f>
        <v>187375.7058925672</v>
      </c>
      <c r="N13" s="27">
        <f>N12/'1_MODEL_assumptions'!N$132</f>
        <v>145066.15219206284</v>
      </c>
      <c r="O13" s="27">
        <f>O12/'1_MODEL_assumptions'!O$132</f>
        <v>122088.30517463761</v>
      </c>
      <c r="P13" s="27">
        <f>P12/'1_MODEL_assumptions'!P$132</f>
        <v>115918.2883949261</v>
      </c>
      <c r="Q13" s="27">
        <f>Q12/'1_MODEL_assumptions'!Q$132</f>
        <v>108334.84896722066</v>
      </c>
      <c r="R13" s="27">
        <f>R12/'1_MODEL_assumptions'!R$132</f>
        <v>101247.52239927163</v>
      </c>
      <c r="S13" s="27">
        <f>S12/'1_MODEL_assumptions'!S$132</f>
        <v>94623.852709599669</v>
      </c>
      <c r="T13" s="27">
        <f>T12/'1_MODEL_assumptions'!T$132</f>
        <v>88433.507205233327</v>
      </c>
      <c r="U13" s="27">
        <f>U12/'1_MODEL_assumptions'!U$132</f>
        <v>82648.13757498443</v>
      </c>
      <c r="V13" s="27">
        <f>V12/'1_MODEL_assumptions'!V$132</f>
        <v>77241.250070078895</v>
      </c>
      <c r="W13" s="27">
        <f>W12/'1_MODEL_assumptions'!W$132</f>
        <v>72188.084177643832</v>
      </c>
      <c r="X13" s="27">
        <f>X12/'1_MODEL_assumptions'!X$132</f>
        <v>67465.499231442824</v>
      </c>
      <c r="Y13" s="27">
        <f>Y12/'1_MODEL_assumptions'!Y$132</f>
        <v>63051.868440600781</v>
      </c>
      <c r="Z13" s="27">
        <f>Z12/'1_MODEL_assumptions'!Z$132</f>
        <v>58926.979851028766</v>
      </c>
      <c r="AA13" s="27">
        <f>AA12/'1_MODEL_assumptions'!AA$132</f>
        <v>55071.943786008196</v>
      </c>
      <c r="AB13" s="27">
        <f>AB12/'1_MODEL_assumptions'!AB$132</f>
        <v>51469.106342063729</v>
      </c>
      <c r="AC13" s="27">
        <f>AC12/'1_MODEL_assumptions'!AC$132</f>
        <v>48101.968543984796</v>
      </c>
      <c r="AD13" s="27">
        <f>AD12/'1_MODEL_assumptions'!AD$132</f>
        <v>0</v>
      </c>
      <c r="AE13" s="27">
        <f>AE12/'1_MODEL_assumptions'!AE$132</f>
        <v>0</v>
      </c>
      <c r="AF13" s="27">
        <f>AF12/'1_MODEL_assumptions'!AF$132</f>
        <v>0</v>
      </c>
      <c r="AG13" s="27">
        <f>AG12/'1_MODEL_assumptions'!AG$132</f>
        <v>0</v>
      </c>
      <c r="AH13" s="27">
        <f>AH12/'1_MODEL_assumptions'!AH$132</f>
        <v>0</v>
      </c>
    </row>
    <row r="14" spans="1:34" s="31" customFormat="1" x14ac:dyDescent="0.3">
      <c r="C14" s="33" t="s">
        <v>385</v>
      </c>
      <c r="E14" s="33" t="s">
        <v>390</v>
      </c>
      <c r="G14" s="12">
        <f>SUM(I14:AC14)</f>
        <v>442555.14579899772</v>
      </c>
      <c r="I14" s="71">
        <f>I8*'7_PARAMS'!I$31</f>
        <v>11086.453996344255</v>
      </c>
      <c r="J14" s="71">
        <f>J8*'7_PARAMS'!J$31</f>
        <v>17085.428713970472</v>
      </c>
      <c r="K14" s="71">
        <f>K8*'7_PARAMS'!K$31</f>
        <v>20214.262707177386</v>
      </c>
      <c r="L14" s="71">
        <f>L8*'7_PARAMS'!L$31</f>
        <v>20577.56544936982</v>
      </c>
      <c r="M14" s="71">
        <f>M8*'7_PARAMS'!M$31</f>
        <v>20940.998776397606</v>
      </c>
      <c r="N14" s="71">
        <f>N8*'7_PARAMS'!N$31</f>
        <v>21304.479505557032</v>
      </c>
      <c r="O14" s="71">
        <f>O8*'7_PARAMS'!O$31</f>
        <v>21711.358225310934</v>
      </c>
      <c r="P14" s="71">
        <f>P8*'7_PARAMS'!P$31</f>
        <v>22116.757030347861</v>
      </c>
      <c r="Q14" s="71">
        <f>Q8*'7_PARAMS'!Q$31</f>
        <v>22116.757030347861</v>
      </c>
      <c r="R14" s="71">
        <f>R8*'7_PARAMS'!R$31</f>
        <v>22116.757030347861</v>
      </c>
      <c r="S14" s="71">
        <f>S8*'7_PARAMS'!S$31</f>
        <v>22116.757030347861</v>
      </c>
      <c r="T14" s="71">
        <f>T8*'7_PARAMS'!T$31</f>
        <v>22116.757030347861</v>
      </c>
      <c r="U14" s="71">
        <f>U8*'7_PARAMS'!U$31</f>
        <v>22116.757030347861</v>
      </c>
      <c r="V14" s="71">
        <f>V8*'7_PARAMS'!V$31</f>
        <v>22116.757030347861</v>
      </c>
      <c r="W14" s="71">
        <f>W8*'7_PARAMS'!W$31</f>
        <v>22116.757030347861</v>
      </c>
      <c r="X14" s="71">
        <f>X8*'7_PARAMS'!X$31</f>
        <v>22116.757030347861</v>
      </c>
      <c r="Y14" s="71">
        <f>Y8*'7_PARAMS'!Y$31</f>
        <v>22116.757030347861</v>
      </c>
      <c r="Z14" s="71">
        <f>Z8*'7_PARAMS'!Z$31</f>
        <v>22116.757030347861</v>
      </c>
      <c r="AA14" s="71">
        <f>AA8*'7_PARAMS'!AA$31</f>
        <v>22116.757030347861</v>
      </c>
      <c r="AB14" s="71">
        <f>AB8*'7_PARAMS'!AB$31</f>
        <v>22116.757030347861</v>
      </c>
      <c r="AC14" s="71">
        <f>AC8*'7_PARAMS'!AC$31</f>
        <v>22116.757030347861</v>
      </c>
    </row>
    <row r="15" spans="1:34" s="25" customFormat="1" x14ac:dyDescent="0.3">
      <c r="D15" s="25" t="s">
        <v>96</v>
      </c>
      <c r="E15" s="25" t="s">
        <v>13</v>
      </c>
      <c r="G15" s="26">
        <f>SUM(I15:AH15)</f>
        <v>236025.10866917123</v>
      </c>
      <c r="I15" s="27">
        <f>I14/'1_MODEL_assumptions'!I$132</f>
        <v>11086.453996344255</v>
      </c>
      <c r="J15" s="27">
        <f>J14/'1_MODEL_assumptions'!J$132</f>
        <v>15967.690386888291</v>
      </c>
      <c r="K15" s="27">
        <f>K14/'1_MODEL_assumptions'!K$132</f>
        <v>17655.919911937624</v>
      </c>
      <c r="L15" s="27">
        <f>L14/'1_MODEL_assumptions'!L$132</f>
        <v>16797.422987903134</v>
      </c>
      <c r="M15" s="27">
        <f>M14/'1_MODEL_assumptions'!M$132</f>
        <v>15975.787702006817</v>
      </c>
      <c r="N15" s="27">
        <f>N14/'1_MODEL_assumptions'!N$132</f>
        <v>15189.799448555221</v>
      </c>
      <c r="O15" s="27">
        <f>O14/'1_MODEL_assumptions'!O$132</f>
        <v>14467.194721930618</v>
      </c>
      <c r="P15" s="27">
        <f>P14/'1_MODEL_assumptions'!P$132</f>
        <v>13773.204731973346</v>
      </c>
      <c r="Q15" s="27">
        <f>Q14/'1_MODEL_assumptions'!Q$132</f>
        <v>12872.153955115276</v>
      </c>
      <c r="R15" s="27">
        <f>R14/'1_MODEL_assumptions'!R$132</f>
        <v>12030.050425341378</v>
      </c>
      <c r="S15" s="27">
        <f>S14/'1_MODEL_assumptions'!S$132</f>
        <v>11243.037780692879</v>
      </c>
      <c r="T15" s="27">
        <f>T14/'1_MODEL_assumptions'!T$132</f>
        <v>10507.511944572781</v>
      </c>
      <c r="U15" s="27">
        <f>U14/'1_MODEL_assumptions'!U$132</f>
        <v>9820.1046210960594</v>
      </c>
      <c r="V15" s="27">
        <f>V14/'1_MODEL_assumptions'!V$132</f>
        <v>9177.6678701832334</v>
      </c>
      <c r="W15" s="27">
        <f>W14/'1_MODEL_assumptions'!W$132</f>
        <v>8577.2596917600313</v>
      </c>
      <c r="X15" s="27">
        <f>X14/'1_MODEL_assumptions'!X$132</f>
        <v>8016.1305530467571</v>
      </c>
      <c r="Y15" s="27">
        <f>Y14/'1_MODEL_assumptions'!Y$132</f>
        <v>7491.7107972399608</v>
      </c>
      <c r="Z15" s="27">
        <f>Z14/'1_MODEL_assumptions'!Z$132</f>
        <v>7001.5988759251968</v>
      </c>
      <c r="AA15" s="27">
        <f>AA14/'1_MODEL_assumptions'!AA$132</f>
        <v>6543.55035133196</v>
      </c>
      <c r="AB15" s="27">
        <f>AB14/'1_MODEL_assumptions'!AB$132</f>
        <v>6115.4676180672514</v>
      </c>
      <c r="AC15" s="27">
        <f>AC14/'1_MODEL_assumptions'!AC$132</f>
        <v>5715.390297259114</v>
      </c>
      <c r="AD15" s="27">
        <f>AD14/'1_MODEL_assumptions'!AD$132</f>
        <v>0</v>
      </c>
      <c r="AE15" s="27">
        <f>AE14/'1_MODEL_assumptions'!AE$132</f>
        <v>0</v>
      </c>
      <c r="AF15" s="27">
        <f>AF14/'1_MODEL_assumptions'!AF$132</f>
        <v>0</v>
      </c>
      <c r="AG15" s="27">
        <f>AG14/'1_MODEL_assumptions'!AG$132</f>
        <v>0</v>
      </c>
      <c r="AH15" s="27">
        <f>AH14/'1_MODEL_assumptions'!AH$132</f>
        <v>0</v>
      </c>
    </row>
    <row r="16" spans="1:34" s="31" customFormat="1" x14ac:dyDescent="0.3">
      <c r="C16" s="33" t="s">
        <v>386</v>
      </c>
      <c r="E16" s="33" t="s">
        <v>390</v>
      </c>
      <c r="G16" s="12">
        <f>SUM(I16:AC16)</f>
        <v>6672773.8504207646</v>
      </c>
      <c r="I16" s="69">
        <f>I9*'7_PARAMS'!I$34</f>
        <v>367551.8345711584</v>
      </c>
      <c r="J16" s="69">
        <f>J9*'7_PARAMS'!J$34</f>
        <v>300018.44219756877</v>
      </c>
      <c r="K16" s="69">
        <f>K9*'7_PARAMS'!K$34</f>
        <v>267109.18605429941</v>
      </c>
      <c r="L16" s="69">
        <f>L9*'7_PARAMS'!L$34</f>
        <v>271878.99294812622</v>
      </c>
      <c r="M16" s="69">
        <f>M9*'7_PARAMS'!M$34</f>
        <v>276648.79984195292</v>
      </c>
      <c r="N16" s="69">
        <f>N9*'7_PARAMS'!N$34</f>
        <v>286188.41362960648</v>
      </c>
      <c r="O16" s="69">
        <f>O9*'7_PARAMS'!O$34</f>
        <v>290958.22052343329</v>
      </c>
      <c r="P16" s="69">
        <f>P9*'7_PARAMS'!P$34</f>
        <v>295728.02741726005</v>
      </c>
      <c r="Q16" s="69">
        <f>Q9*'7_PARAMS'!Q$34</f>
        <v>300497.8343110868</v>
      </c>
      <c r="R16" s="69">
        <f>R9*'7_PARAMS'!R$34</f>
        <v>305267.64120491361</v>
      </c>
      <c r="S16" s="69">
        <f>S9*'7_PARAMS'!S$34</f>
        <v>310037.44809874037</v>
      </c>
      <c r="T16" s="69">
        <f>T9*'7_PARAMS'!T$34</f>
        <v>314807.25499256718</v>
      </c>
      <c r="U16" s="69">
        <f>U9*'7_PARAMS'!U$34</f>
        <v>319577.06188639393</v>
      </c>
      <c r="V16" s="69">
        <f>V9*'7_PARAMS'!V$34</f>
        <v>329116.6756740475</v>
      </c>
      <c r="W16" s="69">
        <f>W9*'7_PARAMS'!W$34</f>
        <v>333886.48256787425</v>
      </c>
      <c r="X16" s="69">
        <f>X9*'7_PARAMS'!X$34</f>
        <v>338656.289461701</v>
      </c>
      <c r="Y16" s="69">
        <f>Y9*'7_PARAMS'!Y$34</f>
        <v>343426.09635552781</v>
      </c>
      <c r="Z16" s="69">
        <f>Z9*'7_PARAMS'!Z$34</f>
        <v>348195.90324935457</v>
      </c>
      <c r="AA16" s="69">
        <f>AA9*'7_PARAMS'!AA$34</f>
        <v>352965.71014318138</v>
      </c>
      <c r="AB16" s="69">
        <f>AB9*'7_PARAMS'!AB$34</f>
        <v>357735.51703700813</v>
      </c>
      <c r="AC16" s="69">
        <f>AC9*'7_PARAMS'!AC$34</f>
        <v>362522.01825496327</v>
      </c>
    </row>
    <row r="17" spans="2:34" s="25" customFormat="1" x14ac:dyDescent="0.3">
      <c r="D17" s="25" t="s">
        <v>96</v>
      </c>
      <c r="E17" s="25" t="s">
        <v>13</v>
      </c>
      <c r="G17" s="26">
        <f>SUM(I17:AH17)</f>
        <v>3598721.9751895457</v>
      </c>
      <c r="I17" s="27">
        <f>I16/'1_MODEL_assumptions'!I$132</f>
        <v>367551.8345711584</v>
      </c>
      <c r="J17" s="27">
        <f>J16/'1_MODEL_assumptions'!J$132</f>
        <v>280391.06747436331</v>
      </c>
      <c r="K17" s="27">
        <f>K16/'1_MODEL_assumptions'!K$132</f>
        <v>233303.50777735995</v>
      </c>
      <c r="L17" s="27">
        <f>L16/'1_MODEL_assumptions'!L$132</f>
        <v>221934.24471477832</v>
      </c>
      <c r="M17" s="27">
        <f>M16/'1_MODEL_assumptions'!M$132</f>
        <v>211054.04481812002</v>
      </c>
      <c r="N17" s="27">
        <f>N16/'1_MODEL_assumptions'!N$132</f>
        <v>204048.38364626493</v>
      </c>
      <c r="O17" s="27">
        <f>O16/'1_MODEL_assumptions'!O$132</f>
        <v>193877.74770127979</v>
      </c>
      <c r="P17" s="27">
        <f>P16/'1_MODEL_assumptions'!P$132</f>
        <v>184164.55274213798</v>
      </c>
      <c r="Q17" s="27">
        <f>Q16/'1_MODEL_assumptions'!Q$132</f>
        <v>174892.47547112891</v>
      </c>
      <c r="R17" s="27">
        <f>R16/'1_MODEL_assumptions'!R$132</f>
        <v>166045.37057042355</v>
      </c>
      <c r="S17" s="27">
        <f>S16/'1_MODEL_assumptions'!S$132</f>
        <v>157607.31727624897</v>
      </c>
      <c r="T17" s="27">
        <f>T16/'1_MODEL_assumptions'!T$132</f>
        <v>149562.6590975188</v>
      </c>
      <c r="U17" s="27">
        <f>U16/'1_MODEL_assumptions'!U$132</f>
        <v>141896.03737657549</v>
      </c>
      <c r="V17" s="27">
        <f>V16/'1_MODEL_assumptions'!V$132</f>
        <v>136571.71961199201</v>
      </c>
      <c r="W17" s="27">
        <f>W16/'1_MODEL_assumptions'!W$132</f>
        <v>129486.93448245214</v>
      </c>
      <c r="X17" s="27">
        <f>X16/'1_MODEL_assumptions'!X$132</f>
        <v>122744.62414224433</v>
      </c>
      <c r="Y17" s="27">
        <f>Y16/'1_MODEL_assumptions'!Y$132</f>
        <v>116330.30062184538</v>
      </c>
      <c r="Z17" s="27">
        <f>Z16/'1_MODEL_assumptions'!Z$132</f>
        <v>110229.9058332647</v>
      </c>
      <c r="AA17" s="27">
        <f>AA16/'1_MODEL_assumptions'!AA$132</f>
        <v>104429.81733019573</v>
      </c>
      <c r="AB17" s="27">
        <f>AB16/'1_MODEL_assumptions'!AB$132</f>
        <v>98916.851474673895</v>
      </c>
      <c r="AC17" s="27">
        <f>AC16/'1_MODEL_assumptions'!AC$132</f>
        <v>93682.578455518713</v>
      </c>
      <c r="AD17" s="27">
        <f>AD16/'1_MODEL_assumptions'!AD$132</f>
        <v>0</v>
      </c>
      <c r="AE17" s="27">
        <f>AE16/'1_MODEL_assumptions'!AE$132</f>
        <v>0</v>
      </c>
      <c r="AF17" s="27">
        <f>AF16/'1_MODEL_assumptions'!AF$132</f>
        <v>0</v>
      </c>
      <c r="AG17" s="27">
        <f>AG16/'1_MODEL_assumptions'!AG$132</f>
        <v>0</v>
      </c>
      <c r="AH17" s="27">
        <f>AH16/'1_MODEL_assumptions'!AH$132</f>
        <v>0</v>
      </c>
    </row>
    <row r="18" spans="2:34" s="25" customFormat="1" x14ac:dyDescent="0.3">
      <c r="D18" s="25" t="s">
        <v>395</v>
      </c>
      <c r="E18" s="25" t="s">
        <v>13</v>
      </c>
      <c r="G18" s="26">
        <f>SUM(I18:AH18)</f>
        <v>4988612.1755240634</v>
      </c>
      <c r="I18" s="27">
        <f>I16/'1_MODEL_assumptions'!I$136</f>
        <v>367551.8345711584</v>
      </c>
      <c r="J18" s="27">
        <f>J16/'1_MODEL_assumptions'!J$136</f>
        <v>291280.04096851335</v>
      </c>
      <c r="K18" s="27">
        <f>K16/'1_MODEL_assumptions'!K$136</f>
        <v>251776.02606682951</v>
      </c>
      <c r="L18" s="27">
        <f>L16/'1_MODEL_assumptions'!L$136</f>
        <v>248807.79274981419</v>
      </c>
      <c r="M18" s="27">
        <f>M16/'1_MODEL_assumptions'!M$136</f>
        <v>245798.87548099508</v>
      </c>
      <c r="N18" s="27">
        <f>N16/'1_MODEL_assumptions'!N$136</f>
        <v>246868.63958586717</v>
      </c>
      <c r="O18" s="27">
        <f>O16/'1_MODEL_assumptions'!O$136</f>
        <v>243672.92904106632</v>
      </c>
      <c r="P18" s="27">
        <f>P16/'1_MODEL_assumptions'!P$136</f>
        <v>240453.94875928873</v>
      </c>
      <c r="Q18" s="27">
        <f>Q16/'1_MODEL_assumptions'!Q$136</f>
        <v>237215.76529651097</v>
      </c>
      <c r="R18" s="27">
        <f>R16/'1_MODEL_assumptions'!R$136</f>
        <v>233962.22806251663</v>
      </c>
      <c r="S18" s="27">
        <f>S16/'1_MODEL_assumptions'!S$136</f>
        <v>230696.97852038196</v>
      </c>
      <c r="T18" s="27">
        <f>T16/'1_MODEL_assumptions'!T$136</f>
        <v>227423.45903428245</v>
      </c>
      <c r="U18" s="27">
        <f>U16/'1_MODEL_assumptions'!U$136</f>
        <v>224144.92137830137</v>
      </c>
      <c r="V18" s="27">
        <f>V16/'1_MODEL_assumptions'!V$136</f>
        <v>224112.44131434278</v>
      </c>
      <c r="W18" s="27">
        <f>W16/'1_MODEL_assumptions'!W$136</f>
        <v>220738.2987477697</v>
      </c>
      <c r="X18" s="27">
        <f>X16/'1_MODEL_assumptions'!X$136</f>
        <v>217370.58545203393</v>
      </c>
      <c r="Y18" s="27">
        <f>Y16/'1_MODEL_assumptions'!Y$136</f>
        <v>214011.78931418635</v>
      </c>
      <c r="Z18" s="27">
        <f>Z16/'1_MODEL_assumptions'!Z$136</f>
        <v>210664.24784163432</v>
      </c>
      <c r="AA18" s="27">
        <f>AA16/'1_MODEL_assumptions'!AA$136</f>
        <v>207330.15481155663</v>
      </c>
      <c r="AB18" s="27">
        <f>AB16/'1_MODEL_assumptions'!AB$136</f>
        <v>204011.56666054507</v>
      </c>
      <c r="AC18" s="27">
        <f>AC16/'1_MODEL_assumptions'!AC$136</f>
        <v>200719.6518664691</v>
      </c>
      <c r="AD18" s="27">
        <f>AD16/'1_MODEL_assumptions'!AD$136</f>
        <v>0</v>
      </c>
      <c r="AE18" s="27">
        <f>AE16/'1_MODEL_assumptions'!AE$136</f>
        <v>0</v>
      </c>
      <c r="AF18" s="27">
        <f>AF16/'1_MODEL_assumptions'!AF$136</f>
        <v>0</v>
      </c>
      <c r="AG18" s="27">
        <f>AG16/'1_MODEL_assumptions'!AG$136</f>
        <v>0</v>
      </c>
      <c r="AH18" s="27">
        <f>AH16/'1_MODEL_assumptions'!AH$136</f>
        <v>0</v>
      </c>
    </row>
    <row r="19" spans="2:34" s="31" customFormat="1" x14ac:dyDescent="0.3">
      <c r="C19" s="33"/>
    </row>
    <row r="20" spans="2:34" s="31" customFormat="1" x14ac:dyDescent="0.3">
      <c r="B20" s="31" t="s">
        <v>314</v>
      </c>
      <c r="C20" s="33"/>
    </row>
    <row r="21" spans="2:34" s="33" customFormat="1" x14ac:dyDescent="0.3">
      <c r="C21" s="33" t="s">
        <v>312</v>
      </c>
      <c r="G21" s="69">
        <f t="shared" ref="G21:G27" si="3">SUM(I21:AC21)</f>
        <v>18744583.199999999</v>
      </c>
      <c r="I21" s="6">
        <f>'4_Emissions'!I73</f>
        <v>872797.60000000009</v>
      </c>
      <c r="J21" s="6">
        <f>'4_Emissions'!J73</f>
        <v>872797.60000000009</v>
      </c>
      <c r="K21" s="6">
        <f>'4_Emissions'!K73</f>
        <v>872797.60000000009</v>
      </c>
      <c r="L21" s="6">
        <f>'4_Emissions'!L73</f>
        <v>872797.60000000009</v>
      </c>
      <c r="M21" s="6">
        <f>'4_Emissions'!M73</f>
        <v>872797.60000000009</v>
      </c>
      <c r="N21" s="6">
        <f>'4_Emissions'!N73</f>
        <v>872797.60000000009</v>
      </c>
      <c r="O21" s="6">
        <f>'4_Emissions'!O73</f>
        <v>872797.60000000009</v>
      </c>
      <c r="P21" s="6">
        <f>'4_Emissions'!P73</f>
        <v>902500</v>
      </c>
      <c r="Q21" s="6">
        <f>'4_Emissions'!Q73</f>
        <v>902500</v>
      </c>
      <c r="R21" s="6">
        <f>'4_Emissions'!R73</f>
        <v>902500</v>
      </c>
      <c r="S21" s="6">
        <f>'4_Emissions'!S73</f>
        <v>902500</v>
      </c>
      <c r="T21" s="6">
        <f>'4_Emissions'!T73</f>
        <v>902500</v>
      </c>
      <c r="U21" s="6">
        <f>'4_Emissions'!U73</f>
        <v>902500</v>
      </c>
      <c r="V21" s="6">
        <f>'4_Emissions'!V73</f>
        <v>902500</v>
      </c>
      <c r="W21" s="6">
        <f>'4_Emissions'!W73</f>
        <v>902500</v>
      </c>
      <c r="X21" s="6">
        <f>'4_Emissions'!X73</f>
        <v>902500</v>
      </c>
      <c r="Y21" s="6">
        <f>'4_Emissions'!Y73</f>
        <v>902500</v>
      </c>
      <c r="Z21" s="6">
        <f>'4_Emissions'!Z73</f>
        <v>902500</v>
      </c>
      <c r="AA21" s="6">
        <f>'4_Emissions'!AA73</f>
        <v>902500</v>
      </c>
      <c r="AB21" s="6">
        <f>'4_Emissions'!AB73</f>
        <v>902500</v>
      </c>
      <c r="AC21" s="6">
        <f>'4_Emissions'!AC73</f>
        <v>902500</v>
      </c>
    </row>
    <row r="22" spans="2:34" s="33" customFormat="1" x14ac:dyDescent="0.3">
      <c r="C22" s="33" t="s">
        <v>379</v>
      </c>
      <c r="G22" s="69">
        <f t="shared" si="3"/>
        <v>0</v>
      </c>
      <c r="I22" s="86">
        <f>'4_Emissions'!I74</f>
        <v>0</v>
      </c>
      <c r="J22" s="86">
        <f>'4_Emissions'!J74</f>
        <v>0</v>
      </c>
      <c r="K22" s="86">
        <f>'4_Emissions'!K74</f>
        <v>0</v>
      </c>
      <c r="L22" s="86">
        <f>'4_Emissions'!L74</f>
        <v>0</v>
      </c>
      <c r="M22" s="86">
        <f>'4_Emissions'!M74</f>
        <v>0</v>
      </c>
      <c r="N22" s="86">
        <f>'4_Emissions'!N74</f>
        <v>0</v>
      </c>
      <c r="O22" s="86">
        <f>'4_Emissions'!O74</f>
        <v>0</v>
      </c>
      <c r="P22" s="86">
        <f>'4_Emissions'!P74</f>
        <v>0</v>
      </c>
      <c r="Q22" s="86">
        <f>'4_Emissions'!Q74</f>
        <v>0</v>
      </c>
      <c r="R22" s="86">
        <f>'4_Emissions'!R74</f>
        <v>0</v>
      </c>
      <c r="S22" s="86">
        <f>'4_Emissions'!S74</f>
        <v>0</v>
      </c>
      <c r="T22" s="86">
        <f>'4_Emissions'!T74</f>
        <v>0</v>
      </c>
      <c r="U22" s="86">
        <f>'4_Emissions'!U74</f>
        <v>0</v>
      </c>
      <c r="V22" s="86">
        <f>'4_Emissions'!V74</f>
        <v>0</v>
      </c>
      <c r="W22" s="86">
        <f>'4_Emissions'!W74</f>
        <v>0</v>
      </c>
      <c r="X22" s="86">
        <f>'4_Emissions'!X74</f>
        <v>0</v>
      </c>
      <c r="Y22" s="86">
        <f>'4_Emissions'!Y74</f>
        <v>0</v>
      </c>
      <c r="Z22" s="86">
        <f>'4_Emissions'!Z74</f>
        <v>0</v>
      </c>
      <c r="AA22" s="86">
        <f>'4_Emissions'!AA74</f>
        <v>0</v>
      </c>
      <c r="AB22" s="86">
        <f>'4_Emissions'!AB74</f>
        <v>0</v>
      </c>
      <c r="AC22" s="86">
        <f>'4_Emissions'!AC74</f>
        <v>0</v>
      </c>
    </row>
    <row r="23" spans="2:34" s="12" customFormat="1" x14ac:dyDescent="0.3">
      <c r="C23" s="33" t="s">
        <v>380</v>
      </c>
      <c r="G23" s="69">
        <f t="shared" si="3"/>
        <v>1511.4715433618819</v>
      </c>
      <c r="I23" s="86">
        <f>'4_Emissions'!I182</f>
        <v>104.13752140911087</v>
      </c>
      <c r="J23" s="86">
        <f>'4_Emissions'!J182</f>
        <v>104.13752140911087</v>
      </c>
      <c r="K23" s="86">
        <f>'4_Emissions'!K182</f>
        <v>104.13752140911087</v>
      </c>
      <c r="L23" s="86">
        <f>'4_Emissions'!L182</f>
        <v>98.944544512415263</v>
      </c>
      <c r="M23" s="86">
        <f>'4_Emissions'!M182</f>
        <v>93.751559561200452</v>
      </c>
      <c r="N23" s="86">
        <f>'4_Emissions'!N182</f>
        <v>88.570988748129281</v>
      </c>
      <c r="O23" s="86">
        <f>'4_Emissions'!O182</f>
        <v>83.52910219176789</v>
      </c>
      <c r="P23" s="86">
        <f>'4_Emissions'!P182</f>
        <v>78.237928075021387</v>
      </c>
      <c r="Q23" s="86">
        <f>'4_Emissions'!Q182</f>
        <v>73.100192295390599</v>
      </c>
      <c r="R23" s="86">
        <f>'4_Emissions'!R182</f>
        <v>67.962456515759811</v>
      </c>
      <c r="S23" s="86">
        <f>'4_Emissions'!S182</f>
        <v>62.824720736129002</v>
      </c>
      <c r="T23" s="86">
        <f>'4_Emissions'!T182</f>
        <v>58.323261085671447</v>
      </c>
      <c r="U23" s="86">
        <f>'4_Emissions'!U182</f>
        <v>54.868247268118338</v>
      </c>
      <c r="V23" s="86">
        <f>'4_Emissions'!V182</f>
        <v>54.868247268118338</v>
      </c>
      <c r="W23" s="86">
        <f>'4_Emissions'!W182</f>
        <v>54.868247268118338</v>
      </c>
      <c r="X23" s="86">
        <f>'4_Emissions'!X182</f>
        <v>54.868247268118338</v>
      </c>
      <c r="Y23" s="86">
        <f>'4_Emissions'!Y182</f>
        <v>54.868247268118338</v>
      </c>
      <c r="Z23" s="86">
        <f>'4_Emissions'!Z182</f>
        <v>54.868247268118338</v>
      </c>
      <c r="AA23" s="86">
        <f>'4_Emissions'!AA182</f>
        <v>54.868247268118338</v>
      </c>
      <c r="AB23" s="86">
        <f>'4_Emissions'!AB182</f>
        <v>54.868247268118338</v>
      </c>
      <c r="AC23" s="86">
        <f>'4_Emissions'!AC182</f>
        <v>54.868247268118338</v>
      </c>
    </row>
    <row r="24" spans="2:34" s="31" customFormat="1" x14ac:dyDescent="0.3">
      <c r="B24" s="12"/>
      <c r="C24" s="33" t="s">
        <v>373</v>
      </c>
      <c r="G24" s="69">
        <f t="shared" si="3"/>
        <v>13.553274825115128</v>
      </c>
      <c r="I24" s="88">
        <f>'4_Emissions'!I199</f>
        <v>1.1968808076813695</v>
      </c>
      <c r="J24" s="88">
        <f>'4_Emissions'!J199</f>
        <v>1.1968808076813695</v>
      </c>
      <c r="K24" s="88">
        <f>'4_Emissions'!K199</f>
        <v>1.1968808076813695</v>
      </c>
      <c r="L24" s="88">
        <f>'4_Emissions'!L199</f>
        <v>1.1084596048092159</v>
      </c>
      <c r="M24" s="88">
        <f>'4_Emissions'!M199</f>
        <v>1.0200258036752035</v>
      </c>
      <c r="N24" s="88">
        <f>'4_Emissions'!N199</f>
        <v>0.93393652099669744</v>
      </c>
      <c r="O24" s="88">
        <f>'4_Emissions'!O199</f>
        <v>0.85021100477091671</v>
      </c>
      <c r="P24" s="88">
        <f>'4_Emissions'!P199</f>
        <v>0.76356936201475234</v>
      </c>
      <c r="Q24" s="88">
        <f>'4_Emissions'!Q199</f>
        <v>0.67408572309138648</v>
      </c>
      <c r="R24" s="88">
        <f>'4_Emissions'!R199</f>
        <v>0.58460208416802073</v>
      </c>
      <c r="S24" s="88">
        <f>'4_Emissions'!S199</f>
        <v>0.49325913413369016</v>
      </c>
      <c r="T24" s="88">
        <f>'4_Emissions'!T199</f>
        <v>0.41501478557212657</v>
      </c>
      <c r="U24" s="88">
        <f>'4_Emissions'!U199</f>
        <v>0.34660759764877969</v>
      </c>
      <c r="V24" s="88">
        <f>'4_Emissions'!V199</f>
        <v>0.34660759764877969</v>
      </c>
      <c r="W24" s="88">
        <f>'4_Emissions'!W199</f>
        <v>0.34660759764877969</v>
      </c>
      <c r="X24" s="88">
        <f>'4_Emissions'!X199</f>
        <v>0.34660759764877969</v>
      </c>
      <c r="Y24" s="88">
        <f>'4_Emissions'!Y199</f>
        <v>0.34660759764877969</v>
      </c>
      <c r="Z24" s="88">
        <f>'4_Emissions'!Z199</f>
        <v>0.34660759764877969</v>
      </c>
      <c r="AA24" s="88">
        <f>'4_Emissions'!AA199</f>
        <v>0.34660759764877969</v>
      </c>
      <c r="AB24" s="88">
        <f>'4_Emissions'!AB199</f>
        <v>0.34660759764877969</v>
      </c>
      <c r="AC24" s="88">
        <f>'4_Emissions'!AC199</f>
        <v>0.34660759764877969</v>
      </c>
    </row>
    <row r="25" spans="2:34" s="31" customFormat="1" x14ac:dyDescent="0.3">
      <c r="B25" s="12"/>
      <c r="C25" s="33" t="s">
        <v>374</v>
      </c>
      <c r="G25" s="69">
        <f t="shared" si="3"/>
        <v>1.6026398565684934</v>
      </c>
      <c r="I25" s="88">
        <f>'4_Emissions'!I216</f>
        <v>0.15550636783675714</v>
      </c>
      <c r="J25" s="88">
        <f>'4_Emissions'!J216</f>
        <v>0.15550636783675714</v>
      </c>
      <c r="K25" s="88">
        <f>'4_Emissions'!K216</f>
        <v>0.15550636783675714</v>
      </c>
      <c r="L25" s="88">
        <f>'4_Emissions'!L216</f>
        <v>0.12955721676664345</v>
      </c>
      <c r="M25" s="88">
        <f>'4_Emissions'!M216</f>
        <v>0.10360808400080446</v>
      </c>
      <c r="N25" s="88">
        <f>'4_Emissions'!N216</f>
        <v>7.765828207101208E-2</v>
      </c>
      <c r="O25" s="88">
        <f>'4_Emissions'!O216</f>
        <v>5.1706680361891397E-2</v>
      </c>
      <c r="P25" s="88">
        <f>'4_Emissions'!P216</f>
        <v>5.4946970671770776E-2</v>
      </c>
      <c r="Q25" s="88">
        <f>'4_Emissions'!Q216</f>
        <v>5.5025713578517967E-2</v>
      </c>
      <c r="R25" s="88">
        <f>'4_Emissions'!R216</f>
        <v>5.5104456485265137E-2</v>
      </c>
      <c r="S25" s="88">
        <f>'4_Emissions'!S216</f>
        <v>5.5183458174828698E-2</v>
      </c>
      <c r="T25" s="88">
        <f>'4_Emissions'!T216</f>
        <v>5.5261931253986256E-2</v>
      </c>
      <c r="U25" s="88">
        <f>'4_Emissions'!U216</f>
        <v>5.5340884410389105E-2</v>
      </c>
      <c r="V25" s="88">
        <f>'4_Emissions'!V216</f>
        <v>5.5340884410389105E-2</v>
      </c>
      <c r="W25" s="88">
        <f>'4_Emissions'!W216</f>
        <v>5.5340884410389105E-2</v>
      </c>
      <c r="X25" s="88">
        <f>'4_Emissions'!X216</f>
        <v>5.5340884410389105E-2</v>
      </c>
      <c r="Y25" s="88">
        <f>'4_Emissions'!Y216</f>
        <v>5.5340884410389105E-2</v>
      </c>
      <c r="Z25" s="88">
        <f>'4_Emissions'!Z216</f>
        <v>5.5340884410389105E-2</v>
      </c>
      <c r="AA25" s="88">
        <f>'4_Emissions'!AA216</f>
        <v>5.5340884410389105E-2</v>
      </c>
      <c r="AB25" s="88">
        <f>'4_Emissions'!AB216</f>
        <v>5.5340884410389105E-2</v>
      </c>
      <c r="AC25" s="88">
        <f>'4_Emissions'!AC216</f>
        <v>5.5340884410389105E-2</v>
      </c>
    </row>
    <row r="26" spans="2:34" s="31" customFormat="1" x14ac:dyDescent="0.3">
      <c r="B26" s="12"/>
      <c r="C26" s="33" t="s">
        <v>375</v>
      </c>
      <c r="G26" s="69">
        <f t="shared" si="3"/>
        <v>367365.30280799989</v>
      </c>
      <c r="I26" s="88">
        <f>'4_Emissions'!I233+'6_Throughput'!I15</f>
        <v>8893.8075439999993</v>
      </c>
      <c r="J26" s="88">
        <f>'4_Emissions'!J233+'6_Throughput'!J15</f>
        <v>11987.807543999999</v>
      </c>
      <c r="K26" s="88">
        <f>'4_Emissions'!K233+'6_Throughput'!K15</f>
        <v>15081.807543999999</v>
      </c>
      <c r="L26" s="88">
        <f>'4_Emissions'!L233+'6_Throughput'!L15</f>
        <v>18175.807543999999</v>
      </c>
      <c r="M26" s="88">
        <f>'4_Emissions'!M233+'6_Throughput'!M15</f>
        <v>18175.807543999999</v>
      </c>
      <c r="N26" s="88">
        <f>'4_Emissions'!N233+'6_Throughput'!N15</f>
        <v>18175.807543999999</v>
      </c>
      <c r="O26" s="88">
        <f>'4_Emissions'!O233+'6_Throughput'!O15</f>
        <v>18175.807543999999</v>
      </c>
      <c r="P26" s="88">
        <f>'4_Emissions'!P233+'6_Throughput'!P15</f>
        <v>18478.474999999999</v>
      </c>
      <c r="Q26" s="88">
        <f>'4_Emissions'!Q233+'6_Throughput'!Q15</f>
        <v>18478.474999999999</v>
      </c>
      <c r="R26" s="88">
        <f>'4_Emissions'!R233+'6_Throughput'!R15</f>
        <v>18478.474999999999</v>
      </c>
      <c r="S26" s="88">
        <f>'4_Emissions'!S233+'6_Throughput'!S15</f>
        <v>18478.474999999999</v>
      </c>
      <c r="T26" s="88">
        <f>'4_Emissions'!T233+'6_Throughput'!T15</f>
        <v>18478.474999999999</v>
      </c>
      <c r="U26" s="88">
        <f>'4_Emissions'!U233+'6_Throughput'!U15</f>
        <v>18478.474999999999</v>
      </c>
      <c r="V26" s="88">
        <f>'4_Emissions'!V233+'6_Throughput'!V15</f>
        <v>18478.474999999999</v>
      </c>
      <c r="W26" s="88">
        <f>'4_Emissions'!W233+'6_Throughput'!W15</f>
        <v>18478.474999999999</v>
      </c>
      <c r="X26" s="88">
        <f>'4_Emissions'!X233+'6_Throughput'!X15</f>
        <v>18478.474999999999</v>
      </c>
      <c r="Y26" s="88">
        <f>'4_Emissions'!Y233+'6_Throughput'!Y15</f>
        <v>18478.474999999999</v>
      </c>
      <c r="Z26" s="88">
        <f>'4_Emissions'!Z233+'6_Throughput'!Z15</f>
        <v>18478.474999999999</v>
      </c>
      <c r="AA26" s="88">
        <f>'4_Emissions'!AA233+'6_Throughput'!AA15</f>
        <v>18478.474999999999</v>
      </c>
      <c r="AB26" s="88">
        <f>'4_Emissions'!AB233+'6_Throughput'!AB15</f>
        <v>18478.474999999999</v>
      </c>
      <c r="AC26" s="88">
        <f>'4_Emissions'!AC233+'6_Throughput'!AC15</f>
        <v>18478.474999999999</v>
      </c>
    </row>
    <row r="27" spans="2:34" s="31" customFormat="1" x14ac:dyDescent="0.3">
      <c r="C27" s="33" t="s">
        <v>383</v>
      </c>
      <c r="E27" s="33" t="s">
        <v>390</v>
      </c>
      <c r="G27" s="12">
        <f t="shared" si="3"/>
        <v>24018768.964622185</v>
      </c>
      <c r="I27" s="71">
        <f>I23*'7_PARAMS'!I$30</f>
        <v>1512664.8593243524</v>
      </c>
      <c r="J27" s="71">
        <f>J23*'7_PARAMS'!J$30</f>
        <v>1531573.1700659068</v>
      </c>
      <c r="K27" s="71">
        <f>K23*'7_PARAMS'!K$30</f>
        <v>1559935.6361782383</v>
      </c>
      <c r="L27" s="71">
        <f>L23*'7_PARAMS'!L$30</f>
        <v>1509095.1863899922</v>
      </c>
      <c r="M27" s="71">
        <f>M23*'7_PARAMS'!M$30</f>
        <v>1455425.9359932165</v>
      </c>
      <c r="N27" s="71">
        <f>N23*'7_PARAMS'!N$30</f>
        <v>1399124.1073240577</v>
      </c>
      <c r="O27" s="71">
        <f>O23*'7_PARAMS'!O$30</f>
        <v>1342228.8777070283</v>
      </c>
      <c r="P27" s="71">
        <f>P23*'7_PARAMS'!P$30</f>
        <v>1285616.4304656263</v>
      </c>
      <c r="Q27" s="71">
        <f>Q23*'7_PARAMS'!Q$30</f>
        <v>1201192.4471598456</v>
      </c>
      <c r="R27" s="71">
        <f>R23*'7_PARAMS'!R$30</f>
        <v>1116768.4638540652</v>
      </c>
      <c r="S27" s="71">
        <f>S23*'7_PARAMS'!S$30</f>
        <v>1032344.4805482842</v>
      </c>
      <c r="T27" s="71">
        <f>T23*'7_PARAMS'!T$30</f>
        <v>958375.87439914059</v>
      </c>
      <c r="U27" s="71">
        <f>U23*'7_PARAMS'!U$30</f>
        <v>901602.6105791576</v>
      </c>
      <c r="V27" s="71">
        <f>V23*'7_PARAMS'!V$30</f>
        <v>901602.6105791576</v>
      </c>
      <c r="W27" s="71">
        <f>W23*'7_PARAMS'!W$30</f>
        <v>901602.6105791576</v>
      </c>
      <c r="X27" s="71">
        <f>X23*'7_PARAMS'!X$30</f>
        <v>901602.6105791576</v>
      </c>
      <c r="Y27" s="71">
        <f>Y23*'7_PARAMS'!Y$30</f>
        <v>901602.6105791576</v>
      </c>
      <c r="Z27" s="71">
        <f>Z23*'7_PARAMS'!Z$30</f>
        <v>901602.6105791576</v>
      </c>
      <c r="AA27" s="71">
        <f>AA23*'7_PARAMS'!AA$30</f>
        <v>901602.6105791576</v>
      </c>
      <c r="AB27" s="71">
        <f>AB23*'7_PARAMS'!AB$30</f>
        <v>901602.6105791576</v>
      </c>
      <c r="AC27" s="71">
        <f>AC23*'7_PARAMS'!AC$30</f>
        <v>901602.6105791576</v>
      </c>
    </row>
    <row r="28" spans="2:34" s="25" customFormat="1" x14ac:dyDescent="0.3">
      <c r="D28" s="25" t="s">
        <v>96</v>
      </c>
      <c r="E28" s="25" t="s">
        <v>13</v>
      </c>
      <c r="G28" s="26">
        <f>SUM(I28:AH28)</f>
        <v>14418744.34681681</v>
      </c>
      <c r="I28" s="27">
        <f>I27/'1_MODEL_assumptions'!I$132</f>
        <v>1512664.8593243524</v>
      </c>
      <c r="J28" s="27">
        <f>J27/'1_MODEL_assumptions'!J$132</f>
        <v>1431376.7944541185</v>
      </c>
      <c r="K28" s="27">
        <f>K27/'1_MODEL_assumptions'!K$132</f>
        <v>1362508.1982515838</v>
      </c>
      <c r="L28" s="27">
        <f>L27/'1_MODEL_assumptions'!L$132</f>
        <v>1231871.1966763551</v>
      </c>
      <c r="M28" s="27">
        <f>M27/'1_MODEL_assumptions'!M$132</f>
        <v>1110337.4780590127</v>
      </c>
      <c r="N28" s="27">
        <f>N27/'1_MODEL_assumptions'!N$132</f>
        <v>997556.15190447785</v>
      </c>
      <c r="O28" s="27">
        <f>O27/'1_MODEL_assumptions'!O$132</f>
        <v>894383.77524204308</v>
      </c>
      <c r="P28" s="27">
        <f>P27/'1_MODEL_assumptions'!P$132</f>
        <v>800617.30023505818</v>
      </c>
      <c r="Q28" s="27">
        <f>Q27/'1_MODEL_assumptions'!Q$132</f>
        <v>699104.94058178901</v>
      </c>
      <c r="R28" s="27">
        <f>R27/'1_MODEL_assumptions'!R$132</f>
        <v>607448.05014409148</v>
      </c>
      <c r="S28" s="27">
        <f>S27/'1_MODEL_assumptions'!S$132</f>
        <v>524791.58592590329</v>
      </c>
      <c r="T28" s="27">
        <f>T27/'1_MODEL_assumptions'!T$132</f>
        <v>455317.47415868624</v>
      </c>
      <c r="U28" s="27">
        <f>U27/'1_MODEL_assumptions'!U$132</f>
        <v>400322.34157981345</v>
      </c>
      <c r="V28" s="27">
        <f>V27/'1_MODEL_assumptions'!V$132</f>
        <v>374133.02951384429</v>
      </c>
      <c r="W28" s="27">
        <f>W27/'1_MODEL_assumptions'!W$132</f>
        <v>349657.03692882648</v>
      </c>
      <c r="X28" s="27">
        <f>X27/'1_MODEL_assumptions'!X$132</f>
        <v>326782.27750357613</v>
      </c>
      <c r="Y28" s="27">
        <f>Y27/'1_MODEL_assumptions'!Y$132</f>
        <v>305403.99766689359</v>
      </c>
      <c r="Z28" s="27">
        <f>Z27/'1_MODEL_assumptions'!Z$132</f>
        <v>285424.29688494728</v>
      </c>
      <c r="AA28" s="27">
        <f>AA27/'1_MODEL_assumptions'!AA$132</f>
        <v>266751.67933172645</v>
      </c>
      <c r="AB28" s="27">
        <f>AB27/'1_MODEL_assumptions'!AB$132</f>
        <v>249300.63488946395</v>
      </c>
      <c r="AC28" s="27">
        <f>AC27/'1_MODEL_assumptions'!AC$132</f>
        <v>232991.2475602467</v>
      </c>
      <c r="AD28" s="27">
        <f>AD27/'1_MODEL_assumptions'!AD$132</f>
        <v>0</v>
      </c>
      <c r="AE28" s="27">
        <f>AE27/'1_MODEL_assumptions'!AE$132</f>
        <v>0</v>
      </c>
      <c r="AF28" s="27">
        <f>AF27/'1_MODEL_assumptions'!AF$132</f>
        <v>0</v>
      </c>
      <c r="AG28" s="27">
        <f>AG27/'1_MODEL_assumptions'!AG$132</f>
        <v>0</v>
      </c>
      <c r="AH28" s="27">
        <f>AH27/'1_MODEL_assumptions'!AH$132</f>
        <v>0</v>
      </c>
    </row>
    <row r="29" spans="2:34" s="31" customFormat="1" x14ac:dyDescent="0.3">
      <c r="C29" s="33" t="s">
        <v>384</v>
      </c>
      <c r="E29" s="33" t="s">
        <v>390</v>
      </c>
      <c r="G29" s="12">
        <f>SUM(I29:AC29)</f>
        <v>10292293.366994565</v>
      </c>
      <c r="I29" s="71">
        <f>I24*'7_PARAMS'!I$32</f>
        <v>841782.62524807721</v>
      </c>
      <c r="J29" s="71">
        <f>J24*'7_PARAMS'!J$32</f>
        <v>856342.95463793678</v>
      </c>
      <c r="K29" s="71">
        <f>K24*'7_PARAMS'!K$32</f>
        <v>871120.60237689875</v>
      </c>
      <c r="L29" s="71">
        <f>L24*'7_PARAMS'!L$32</f>
        <v>819646.25339728233</v>
      </c>
      <c r="M29" s="71">
        <f>M24*'7_PARAMS'!M$32</f>
        <v>766200.04535711615</v>
      </c>
      <c r="N29" s="71">
        <f>N24*'7_PARAMS'!N$32</f>
        <v>712725.41039475624</v>
      </c>
      <c r="O29" s="71">
        <f>O24*'7_PARAMS'!O$32</f>
        <v>659174.03365806886</v>
      </c>
      <c r="P29" s="71">
        <f>P24*'7_PARAMS'!P$32</f>
        <v>601427.85155151982</v>
      </c>
      <c r="Q29" s="71">
        <f>Q24*'7_PARAMS'!Q$32</f>
        <v>530945.77698963857</v>
      </c>
      <c r="R29" s="71">
        <f>R24*'7_PARAMS'!R$32</f>
        <v>460463.70242775744</v>
      </c>
      <c r="S29" s="71">
        <f>S24*'7_PARAMS'!S$32</f>
        <v>388517.13551919162</v>
      </c>
      <c r="T29" s="71">
        <f>T24*'7_PARAMS'!T$32</f>
        <v>326887.72397855378</v>
      </c>
      <c r="U29" s="71">
        <f>U24*'7_PARAMS'!U$32</f>
        <v>273006.58349530754</v>
      </c>
      <c r="V29" s="71">
        <f>V24*'7_PARAMS'!V$32</f>
        <v>273006.58349530754</v>
      </c>
      <c r="W29" s="71">
        <f>W24*'7_PARAMS'!W$32</f>
        <v>273006.58349530754</v>
      </c>
      <c r="X29" s="71">
        <f>X24*'7_PARAMS'!X$32</f>
        <v>273006.58349530754</v>
      </c>
      <c r="Y29" s="71">
        <f>Y24*'7_PARAMS'!Y$32</f>
        <v>273006.58349530754</v>
      </c>
      <c r="Z29" s="71">
        <f>Z24*'7_PARAMS'!Z$32</f>
        <v>273006.58349530754</v>
      </c>
      <c r="AA29" s="71">
        <f>AA24*'7_PARAMS'!AA$32</f>
        <v>273006.58349530754</v>
      </c>
      <c r="AB29" s="71">
        <f>AB24*'7_PARAMS'!AB$32</f>
        <v>273006.58349530754</v>
      </c>
      <c r="AC29" s="71">
        <f>AC24*'7_PARAMS'!AC$32</f>
        <v>273006.58349530754</v>
      </c>
    </row>
    <row r="30" spans="2:34" s="25" customFormat="1" x14ac:dyDescent="0.3">
      <c r="D30" s="25" t="s">
        <v>96</v>
      </c>
      <c r="E30" s="25" t="s">
        <v>13</v>
      </c>
      <c r="G30" s="26">
        <f>SUM(I30:AH30)</f>
        <v>6735846.9634316694</v>
      </c>
      <c r="I30" s="27">
        <f>I29/'1_MODEL_assumptions'!I$132</f>
        <v>841782.62524807721</v>
      </c>
      <c r="J30" s="27">
        <f>J29/'1_MODEL_assumptions'!J$132</f>
        <v>800320.51835321193</v>
      </c>
      <c r="K30" s="27">
        <f>K29/'1_MODEL_assumptions'!K$132</f>
        <v>760870.47111267247</v>
      </c>
      <c r="L30" s="27">
        <f>L29/'1_MODEL_assumptions'!L$132</f>
        <v>669075.49644974282</v>
      </c>
      <c r="M30" s="27">
        <f>M29/'1_MODEL_assumptions'!M$132</f>
        <v>584530.34607354051</v>
      </c>
      <c r="N30" s="27">
        <f>N29/'1_MODEL_assumptions'!N$132</f>
        <v>508163.36737828684</v>
      </c>
      <c r="O30" s="27">
        <f>O29/'1_MODEL_assumptions'!O$132</f>
        <v>439235.49146981828</v>
      </c>
      <c r="P30" s="27">
        <f>P29/'1_MODEL_assumptions'!P$132</f>
        <v>374539.03931591316</v>
      </c>
      <c r="Q30" s="27">
        <f>Q29/'1_MODEL_assumptions'!Q$132</f>
        <v>309015.27623832814</v>
      </c>
      <c r="R30" s="27">
        <f>R29/'1_MODEL_assumptions'!R$132</f>
        <v>250461.74498568353</v>
      </c>
      <c r="S30" s="27">
        <f>S29/'1_MODEL_assumptions'!S$132</f>
        <v>197502.41082338928</v>
      </c>
      <c r="T30" s="27">
        <f>T29/'1_MODEL_assumptions'!T$132</f>
        <v>155302.00288974468</v>
      </c>
      <c r="U30" s="27">
        <f>U29/'1_MODEL_assumptions'!U$132</f>
        <v>121218.18802337088</v>
      </c>
      <c r="V30" s="27">
        <f>V29/'1_MODEL_assumptions'!V$132</f>
        <v>113288.02619006624</v>
      </c>
      <c r="W30" s="27">
        <f>W29/'1_MODEL_assumptions'!W$132</f>
        <v>105876.65999071611</v>
      </c>
      <c r="X30" s="27">
        <f>X29/'1_MODEL_assumptions'!X$132</f>
        <v>98950.149524033739</v>
      </c>
      <c r="Y30" s="27">
        <f>Y29/'1_MODEL_assumptions'!Y$132</f>
        <v>92476.77525610631</v>
      </c>
      <c r="Z30" s="27">
        <f>Z29/'1_MODEL_assumptions'!Z$132</f>
        <v>86426.892762716176</v>
      </c>
      <c r="AA30" s="27">
        <f>AA29/'1_MODEL_assumptions'!AA$132</f>
        <v>80772.796974501107</v>
      </c>
      <c r="AB30" s="27">
        <f>AB29/'1_MODEL_assumptions'!AB$132</f>
        <v>75488.595303272057</v>
      </c>
      <c r="AC30" s="27">
        <f>AC29/'1_MODEL_assumptions'!AC$132</f>
        <v>70550.089068478555</v>
      </c>
      <c r="AD30" s="27">
        <f>AD29/'1_MODEL_assumptions'!AD$132</f>
        <v>0</v>
      </c>
      <c r="AE30" s="27">
        <f>AE29/'1_MODEL_assumptions'!AE$132</f>
        <v>0</v>
      </c>
      <c r="AF30" s="27">
        <f>AF29/'1_MODEL_assumptions'!AF$132</f>
        <v>0</v>
      </c>
      <c r="AG30" s="27">
        <f>AG29/'1_MODEL_assumptions'!AG$132</f>
        <v>0</v>
      </c>
      <c r="AH30" s="27">
        <f>AH29/'1_MODEL_assumptions'!AH$132</f>
        <v>0</v>
      </c>
    </row>
    <row r="31" spans="2:34" s="31" customFormat="1" x14ac:dyDescent="0.3">
      <c r="C31" s="33" t="s">
        <v>385</v>
      </c>
      <c r="E31" s="33" t="s">
        <v>390</v>
      </c>
      <c r="G31" s="12">
        <f>SUM(I31:AC31)</f>
        <v>68464.977806762094</v>
      </c>
      <c r="I31" s="71">
        <f>I25*'7_PARAMS'!I$31</f>
        <v>6084.7248785875927</v>
      </c>
      <c r="J31" s="71">
        <f>J25*'7_PARAMS'!J$31</f>
        <v>6211.7840987901172</v>
      </c>
      <c r="K31" s="71">
        <f>K25*'7_PARAMS'!K$31</f>
        <v>6338.8433189926427</v>
      </c>
      <c r="L31" s="71">
        <f>L25*'7_PARAMS'!L$31</f>
        <v>5375.1836643083116</v>
      </c>
      <c r="M31" s="71">
        <f>M25*'7_PARAMS'!M$31</f>
        <v>4373.8319619041376</v>
      </c>
      <c r="N31" s="71">
        <f>N25*'7_PARAMS'!N$31</f>
        <v>3334.7587307842682</v>
      </c>
      <c r="O31" s="71">
        <f>O25*'7_PARAMS'!O$31</f>
        <v>2262.6073476560741</v>
      </c>
      <c r="P31" s="71">
        <f>P25*'7_PARAMS'!P$31</f>
        <v>2449.2930185964096</v>
      </c>
      <c r="Q31" s="71">
        <f>Q25*'7_PARAMS'!Q$31</f>
        <v>2452.8030292376143</v>
      </c>
      <c r="R31" s="71">
        <f>R25*'7_PARAMS'!R$31</f>
        <v>2456.3130398788185</v>
      </c>
      <c r="S31" s="71">
        <f>S25*'7_PARAMS'!S$31</f>
        <v>2459.8345859138349</v>
      </c>
      <c r="T31" s="71">
        <f>T25*'7_PARAMS'!T$31</f>
        <v>2463.3325688340674</v>
      </c>
      <c r="U31" s="71">
        <f>U25*'7_PARAMS'!U$31</f>
        <v>2466.8519514753566</v>
      </c>
      <c r="V31" s="71">
        <f>V25*'7_PARAMS'!V$31</f>
        <v>2466.8519514753566</v>
      </c>
      <c r="W31" s="71">
        <f>W25*'7_PARAMS'!W$31</f>
        <v>2466.8519514753566</v>
      </c>
      <c r="X31" s="71">
        <f>X25*'7_PARAMS'!X$31</f>
        <v>2466.8519514753566</v>
      </c>
      <c r="Y31" s="71">
        <f>Y25*'7_PARAMS'!Y$31</f>
        <v>2466.8519514753566</v>
      </c>
      <c r="Z31" s="71">
        <f>Z25*'7_PARAMS'!Z$31</f>
        <v>2466.8519514753566</v>
      </c>
      <c r="AA31" s="71">
        <f>AA25*'7_PARAMS'!AA$31</f>
        <v>2466.8519514753566</v>
      </c>
      <c r="AB31" s="71">
        <f>AB25*'7_PARAMS'!AB$31</f>
        <v>2466.8519514753566</v>
      </c>
      <c r="AC31" s="71">
        <f>AC25*'7_PARAMS'!AC$31</f>
        <v>2466.8519514753566</v>
      </c>
    </row>
    <row r="32" spans="2:34" s="25" customFormat="1" x14ac:dyDescent="0.3">
      <c r="D32" s="25" t="s">
        <v>96</v>
      </c>
      <c r="E32" s="25" t="s">
        <v>13</v>
      </c>
      <c r="G32" s="26">
        <f>SUM(I32:AH32)</f>
        <v>43381.989856070046</v>
      </c>
      <c r="I32" s="27">
        <f>I31/'1_MODEL_assumptions'!I$132</f>
        <v>6084.7248785875927</v>
      </c>
      <c r="J32" s="27">
        <f>J31/'1_MODEL_assumptions'!J$132</f>
        <v>5805.4056998038477</v>
      </c>
      <c r="K32" s="27">
        <f>K31/'1_MODEL_assumptions'!K$132</f>
        <v>5536.5912472640775</v>
      </c>
      <c r="L32" s="27">
        <f>L31/'1_MODEL_assumptions'!L$132</f>
        <v>4387.7510130732644</v>
      </c>
      <c r="M32" s="27">
        <f>M31/'1_MODEL_assumptions'!M$132</f>
        <v>3336.7754620371002</v>
      </c>
      <c r="N32" s="27">
        <f>N31/'1_MODEL_assumptions'!N$132</f>
        <v>2377.6368869616822</v>
      </c>
      <c r="O32" s="27">
        <f>O31/'1_MODEL_assumptions'!O$132</f>
        <v>1507.6708116607294</v>
      </c>
      <c r="P32" s="27">
        <f>P31/'1_MODEL_assumptions'!P$132</f>
        <v>1525.2965951306451</v>
      </c>
      <c r="Q32" s="27">
        <f>Q31/'1_MODEL_assumptions'!Q$132</f>
        <v>1427.5536947209978</v>
      </c>
      <c r="R32" s="27">
        <f>R31/'1_MODEL_assumptions'!R$132</f>
        <v>1336.0715447395314</v>
      </c>
      <c r="S32" s="27">
        <f>S31/'1_MODEL_assumptions'!S$132</f>
        <v>1250.4551705177946</v>
      </c>
      <c r="T32" s="27">
        <f>T31/'1_MODEL_assumptions'!T$132</f>
        <v>1170.3115585599944</v>
      </c>
      <c r="U32" s="27">
        <f>U31/'1_MODEL_assumptions'!U$132</f>
        <v>1095.3117681314043</v>
      </c>
      <c r="V32" s="27">
        <f>V31/'1_MODEL_assumptions'!V$132</f>
        <v>1023.6558580667329</v>
      </c>
      <c r="W32" s="27">
        <f>W31/'1_MODEL_assumptions'!W$132</f>
        <v>956.68771781937664</v>
      </c>
      <c r="X32" s="27">
        <f>X31/'1_MODEL_assumptions'!X$132</f>
        <v>894.10067085923038</v>
      </c>
      <c r="Y32" s="27">
        <f>Y31/'1_MODEL_assumptions'!Y$132</f>
        <v>835.60810360675748</v>
      </c>
      <c r="Z32" s="27">
        <f>Z31/'1_MODEL_assumptions'!Z$132</f>
        <v>780.94215290351167</v>
      </c>
      <c r="AA32" s="27">
        <f>AA31/'1_MODEL_assumptions'!AA$132</f>
        <v>729.85247934907625</v>
      </c>
      <c r="AB32" s="27">
        <f>AB31/'1_MODEL_assumptions'!AB$132</f>
        <v>682.10512088698715</v>
      </c>
      <c r="AC32" s="27">
        <f>AC31/'1_MODEL_assumptions'!AC$132</f>
        <v>637.48142138970763</v>
      </c>
      <c r="AD32" s="27">
        <f>AD31/'1_MODEL_assumptions'!AD$132</f>
        <v>0</v>
      </c>
      <c r="AE32" s="27">
        <f>AE31/'1_MODEL_assumptions'!AE$132</f>
        <v>0</v>
      </c>
      <c r="AF32" s="27">
        <f>AF31/'1_MODEL_assumptions'!AF$132</f>
        <v>0</v>
      </c>
      <c r="AG32" s="27">
        <f>AG31/'1_MODEL_assumptions'!AG$132</f>
        <v>0</v>
      </c>
      <c r="AH32" s="27">
        <f>AH31/'1_MODEL_assumptions'!AH$132</f>
        <v>0</v>
      </c>
    </row>
    <row r="33" spans="2:34" s="31" customFormat="1" x14ac:dyDescent="0.3">
      <c r="C33" s="33" t="s">
        <v>386</v>
      </c>
      <c r="E33" s="33" t="s">
        <v>390</v>
      </c>
      <c r="G33" s="12">
        <f>SUM(I33:AC33)</f>
        <v>21917763.79918883</v>
      </c>
      <c r="I33" s="69">
        <f>I26*'7_PARAMS'!I$34</f>
        <v>436010.53779028595</v>
      </c>
      <c r="J33" s="69">
        <f>J26*'7_PARAMS'!J$34</f>
        <v>598574.13973672269</v>
      </c>
      <c r="K33" s="69">
        <f>K26*'7_PARAMS'!K$34</f>
        <v>766755.53560054477</v>
      </c>
      <c r="L33" s="69">
        <f>L26*'7_PARAMS'!L$34</f>
        <v>940554.72538175224</v>
      </c>
      <c r="M33" s="69">
        <f>M26*'7_PARAMS'!M$34</f>
        <v>957055.68547616887</v>
      </c>
      <c r="N33" s="69">
        <f>N26*'7_PARAMS'!N$34</f>
        <v>990057.60566500225</v>
      </c>
      <c r="O33" s="69">
        <f>O26*'7_PARAMS'!O$34</f>
        <v>1006558.565759419</v>
      </c>
      <c r="P33" s="69">
        <f>P26*'7_PARAMS'!P$34</f>
        <v>1040095.7330912392</v>
      </c>
      <c r="Q33" s="69">
        <f>Q26*'7_PARAMS'!Q$34</f>
        <v>1056871.4707217431</v>
      </c>
      <c r="R33" s="69">
        <f>R26*'7_PARAMS'!R$34</f>
        <v>1073647.2083522468</v>
      </c>
      <c r="S33" s="69">
        <f>S26*'7_PARAMS'!S$34</f>
        <v>1090422.9459827507</v>
      </c>
      <c r="T33" s="69">
        <f>T26*'7_PARAMS'!T$34</f>
        <v>1107198.6836132547</v>
      </c>
      <c r="U33" s="69">
        <f>U26*'7_PARAMS'!U$34</f>
        <v>1123974.4212437586</v>
      </c>
      <c r="V33" s="69">
        <f>V26*'7_PARAMS'!V$34</f>
        <v>1157525.8965047661</v>
      </c>
      <c r="W33" s="69">
        <f>W26*'7_PARAMS'!W$34</f>
        <v>1174301.63413527</v>
      </c>
      <c r="X33" s="69">
        <f>X26*'7_PARAMS'!X$34</f>
        <v>1191077.3717657737</v>
      </c>
      <c r="Y33" s="69">
        <f>Y26*'7_PARAMS'!Y$34</f>
        <v>1207853.1093962779</v>
      </c>
      <c r="Z33" s="69">
        <f>Z26*'7_PARAMS'!Z$34</f>
        <v>1224628.8470267816</v>
      </c>
      <c r="AA33" s="69">
        <f>AA26*'7_PARAMS'!AA$34</f>
        <v>1241404.5846572856</v>
      </c>
      <c r="AB33" s="69">
        <f>AB26*'7_PARAMS'!AB$34</f>
        <v>1258180.3222877893</v>
      </c>
      <c r="AC33" s="69">
        <f>AC26*'7_PARAMS'!AC$34</f>
        <v>1275014.7749999999</v>
      </c>
    </row>
    <row r="34" spans="2:34" s="25" customFormat="1" x14ac:dyDescent="0.3">
      <c r="D34" s="25" t="s">
        <v>96</v>
      </c>
      <c r="E34" s="25" t="s">
        <v>13</v>
      </c>
      <c r="G34" s="26">
        <f>SUM(I34:AH34)</f>
        <v>11174820.285566289</v>
      </c>
      <c r="I34" s="27">
        <f>I33/'1_MODEL_assumptions'!I$132</f>
        <v>436010.53779028595</v>
      </c>
      <c r="J34" s="27">
        <f>J33/'1_MODEL_assumptions'!J$132</f>
        <v>559415.08386609599</v>
      </c>
      <c r="K34" s="27">
        <f>K33/'1_MODEL_assumptions'!K$132</f>
        <v>669713.9799113851</v>
      </c>
      <c r="L34" s="27">
        <f>L33/'1_MODEL_assumptions'!L$132</f>
        <v>767772.82542878261</v>
      </c>
      <c r="M34" s="27">
        <f>M33/'1_MODEL_assumptions'!M$132</f>
        <v>730133.20011263143</v>
      </c>
      <c r="N34" s="27">
        <f>N33/'1_MODEL_assumptions'!N$132</f>
        <v>705897.38973183825</v>
      </c>
      <c r="O34" s="27">
        <f>O33/'1_MODEL_assumptions'!O$132</f>
        <v>670712.47310969059</v>
      </c>
      <c r="P34" s="27">
        <f>P33/'1_MODEL_assumptions'!P$132</f>
        <v>647719.34931783378</v>
      </c>
      <c r="Q34" s="27">
        <f>Q33/'1_MODEL_assumptions'!Q$132</f>
        <v>615108.8183150969</v>
      </c>
      <c r="R34" s="27">
        <f>R33/'1_MODEL_assumptions'!R$132</f>
        <v>583992.94425406016</v>
      </c>
      <c r="S34" s="27">
        <f>S33/'1_MODEL_assumptions'!S$132</f>
        <v>554315.73271778494</v>
      </c>
      <c r="T34" s="27">
        <f>T33/'1_MODEL_assumptions'!T$132</f>
        <v>526022.11875447596</v>
      </c>
      <c r="U34" s="27">
        <f>U33/'1_MODEL_assumptions'!U$132</f>
        <v>499058.0849129128</v>
      </c>
      <c r="V34" s="27">
        <f>V33/'1_MODEL_assumptions'!V$132</f>
        <v>480332.0945597848</v>
      </c>
      <c r="W34" s="27">
        <f>W33/'1_MODEL_assumptions'!W$132</f>
        <v>455414.41987247649</v>
      </c>
      <c r="X34" s="27">
        <f>X33/'1_MODEL_assumptions'!X$132</f>
        <v>431701.25248258776</v>
      </c>
      <c r="Y34" s="27">
        <f>Y33/'1_MODEL_assumptions'!Y$132</f>
        <v>409141.63720871834</v>
      </c>
      <c r="Z34" s="27">
        <f>Z33/'1_MODEL_assumptions'!Z$132</f>
        <v>387686.13079226943</v>
      </c>
      <c r="AA34" s="27">
        <f>AA33/'1_MODEL_assumptions'!AA$132</f>
        <v>367286.82215629157</v>
      </c>
      <c r="AB34" s="27">
        <f>AB33/'1_MODEL_assumptions'!AB$132</f>
        <v>347897.34354283742</v>
      </c>
      <c r="AC34" s="27">
        <f>AC33/'1_MODEL_assumptions'!AC$132</f>
        <v>329488.04672844912</v>
      </c>
      <c r="AD34" s="27">
        <f>AD33/'1_MODEL_assumptions'!AD$132</f>
        <v>0</v>
      </c>
      <c r="AE34" s="27">
        <f>AE33/'1_MODEL_assumptions'!AE$132</f>
        <v>0</v>
      </c>
      <c r="AF34" s="27">
        <f>AF33/'1_MODEL_assumptions'!AF$132</f>
        <v>0</v>
      </c>
      <c r="AG34" s="27">
        <f>AG33/'1_MODEL_assumptions'!AG$132</f>
        <v>0</v>
      </c>
      <c r="AH34" s="27">
        <f>AH33/'1_MODEL_assumptions'!AH$132</f>
        <v>0</v>
      </c>
    </row>
    <row r="35" spans="2:34" s="25" customFormat="1" x14ac:dyDescent="0.3">
      <c r="D35" s="25" t="s">
        <v>395</v>
      </c>
      <c r="E35" s="25" t="s">
        <v>13</v>
      </c>
      <c r="G35" s="26">
        <f>SUM(I35:AH35)</f>
        <v>16025759.420606537</v>
      </c>
      <c r="I35" s="27">
        <f>I33/'1_MODEL_assumptions'!I$136</f>
        <v>436010.53779028595</v>
      </c>
      <c r="J35" s="27">
        <f>J33/'1_MODEL_assumptions'!J$136</f>
        <v>581139.94149196381</v>
      </c>
      <c r="K35" s="27">
        <f>K33/'1_MODEL_assumptions'!K$136</f>
        <v>722740.63116273424</v>
      </c>
      <c r="L35" s="27">
        <f>L33/'1_MODEL_assumptions'!L$136</f>
        <v>860740.81209831208</v>
      </c>
      <c r="M35" s="27">
        <f>M33/'1_MODEL_assumptions'!M$136</f>
        <v>850331.58067964739</v>
      </c>
      <c r="N35" s="27">
        <f>N33/'1_MODEL_assumptions'!N$136</f>
        <v>854032.38769298373</v>
      </c>
      <c r="O35" s="27">
        <f>O33/'1_MODEL_assumptions'!O$136</f>
        <v>842976.95225359232</v>
      </c>
      <c r="P35" s="27">
        <f>P33/'1_MODEL_assumptions'!P$136</f>
        <v>845693.01156092924</v>
      </c>
      <c r="Q35" s="27">
        <f>Q33/'1_MODEL_assumptions'!Q$136</f>
        <v>834304.09847069439</v>
      </c>
      <c r="R35" s="27">
        <f>R33/'1_MODEL_assumptions'!R$136</f>
        <v>822861.18511518615</v>
      </c>
      <c r="S35" s="27">
        <f>S33/'1_MODEL_assumptions'!S$136</f>
        <v>811377.07876952528</v>
      </c>
      <c r="T35" s="27">
        <f>T33/'1_MODEL_assumptions'!T$136</f>
        <v>799863.88646435656</v>
      </c>
      <c r="U35" s="27">
        <f>U33/'1_MODEL_assumptions'!U$136</f>
        <v>788333.04491191381</v>
      </c>
      <c r="V35" s="27">
        <f>V33/'1_MODEL_assumptions'!V$136</f>
        <v>788218.81030172505</v>
      </c>
      <c r="W35" s="27">
        <f>W33/'1_MODEL_assumptions'!W$136</f>
        <v>776351.71972872876</v>
      </c>
      <c r="X35" s="27">
        <f>X33/'1_MODEL_assumptions'!X$136</f>
        <v>764507.24134174385</v>
      </c>
      <c r="Y35" s="27">
        <f>Y33/'1_MODEL_assumptions'!Y$136</f>
        <v>752694.12520997645</v>
      </c>
      <c r="Z35" s="27">
        <f>Z33/'1_MODEL_assumptions'!Z$136</f>
        <v>740920.59250712348</v>
      </c>
      <c r="AA35" s="27">
        <f>AA33/'1_MODEL_assumptions'!AA$136</f>
        <v>729194.3588978207</v>
      </c>
      <c r="AB35" s="27">
        <f>AB33/'1_MODEL_assumptions'!AB$136</f>
        <v>717522.65701045061</v>
      </c>
      <c r="AC35" s="27">
        <f>AC33/'1_MODEL_assumptions'!AC$136</f>
        <v>705944.76714684512</v>
      </c>
      <c r="AD35" s="27">
        <f>AD33/'1_MODEL_assumptions'!AD$136</f>
        <v>0</v>
      </c>
      <c r="AE35" s="27">
        <f>AE33/'1_MODEL_assumptions'!AE$136</f>
        <v>0</v>
      </c>
      <c r="AF35" s="27">
        <f>AF33/'1_MODEL_assumptions'!AF$136</f>
        <v>0</v>
      </c>
      <c r="AG35" s="27">
        <f>AG33/'1_MODEL_assumptions'!AG$136</f>
        <v>0</v>
      </c>
      <c r="AH35" s="27">
        <f>AH33/'1_MODEL_assumptions'!AH$136</f>
        <v>0</v>
      </c>
    </row>
    <row r="36" spans="2:34" s="31" customFormat="1" x14ac:dyDescent="0.3">
      <c r="C36" s="33"/>
    </row>
    <row r="37" spans="2:34" s="31" customFormat="1" x14ac:dyDescent="0.3">
      <c r="B37" s="31" t="s">
        <v>318</v>
      </c>
      <c r="C37" s="33"/>
    </row>
    <row r="38" spans="2:34" s="33" customFormat="1" x14ac:dyDescent="0.3">
      <c r="C38" s="33" t="str">
        <f t="shared" ref="C38:C44" si="4">C4</f>
        <v>Diesel Consumption (gallons)</v>
      </c>
      <c r="G38" s="69">
        <f t="shared" ref="G38:G44" si="5">SUM(I38:AC38)</f>
        <v>12332454.58444445</v>
      </c>
      <c r="I38" s="69">
        <f t="shared" ref="I38:I44" si="6">I21-I4</f>
        <v>206172.84444444452</v>
      </c>
      <c r="J38" s="69">
        <f t="shared" ref="J38:AC38" si="7">J21-J4</f>
        <v>459068.67333333346</v>
      </c>
      <c r="K38" s="69">
        <f t="shared" si="7"/>
        <v>592177.86666666681</v>
      </c>
      <c r="L38" s="69">
        <f t="shared" si="7"/>
        <v>592177.86666666681</v>
      </c>
      <c r="M38" s="69">
        <f t="shared" si="7"/>
        <v>592177.86666666681</v>
      </c>
      <c r="N38" s="69">
        <f t="shared" si="7"/>
        <v>592177.86666666681</v>
      </c>
      <c r="O38" s="69">
        <f t="shared" si="7"/>
        <v>592177.86666666681</v>
      </c>
      <c r="P38" s="69">
        <f t="shared" si="7"/>
        <v>621880.26666666672</v>
      </c>
      <c r="Q38" s="69">
        <f t="shared" si="7"/>
        <v>621880.26666666672</v>
      </c>
      <c r="R38" s="69">
        <f t="shared" si="7"/>
        <v>621880.26666666672</v>
      </c>
      <c r="S38" s="69">
        <f t="shared" si="7"/>
        <v>621880.26666666672</v>
      </c>
      <c r="T38" s="69">
        <f t="shared" si="7"/>
        <v>621880.26666666672</v>
      </c>
      <c r="U38" s="69">
        <f t="shared" si="7"/>
        <v>621880.26666666672</v>
      </c>
      <c r="V38" s="69">
        <f t="shared" si="7"/>
        <v>621880.26666666672</v>
      </c>
      <c r="W38" s="69">
        <f t="shared" si="7"/>
        <v>621880.26666666672</v>
      </c>
      <c r="X38" s="69">
        <f t="shared" si="7"/>
        <v>621880.26666666672</v>
      </c>
      <c r="Y38" s="69">
        <f t="shared" si="7"/>
        <v>621880.26666666672</v>
      </c>
      <c r="Z38" s="69">
        <f t="shared" si="7"/>
        <v>621880.26666666672</v>
      </c>
      <c r="AA38" s="69">
        <f t="shared" si="7"/>
        <v>621880.26666666672</v>
      </c>
      <c r="AB38" s="69">
        <f t="shared" si="7"/>
        <v>621880.26666666672</v>
      </c>
      <c r="AC38" s="69">
        <f t="shared" si="7"/>
        <v>621880.26666666672</v>
      </c>
    </row>
    <row r="39" spans="2:34" s="6" customFormat="1" x14ac:dyDescent="0.3">
      <c r="C39" s="33" t="str">
        <f t="shared" si="4"/>
        <v>Electricity Consumption (kWh)</v>
      </c>
      <c r="G39" s="6">
        <f t="shared" si="5"/>
        <v>-126694347.46176477</v>
      </c>
      <c r="I39" s="69">
        <f t="shared" si="6"/>
        <v>-1859765.0411764707</v>
      </c>
      <c r="J39" s="6">
        <f t="shared" ref="J39:AC39" si="8">J22-J5</f>
        <v>-4732510.5303921569</v>
      </c>
      <c r="K39" s="6">
        <f t="shared" si="8"/>
        <v>-6321161.6784313731</v>
      </c>
      <c r="L39" s="6">
        <f t="shared" si="8"/>
        <v>-6321161.6784313731</v>
      </c>
      <c r="M39" s="6">
        <f t="shared" si="8"/>
        <v>-6321161.6784313731</v>
      </c>
      <c r="N39" s="6">
        <f t="shared" si="8"/>
        <v>-6321161.6784313731</v>
      </c>
      <c r="O39" s="6">
        <f t="shared" si="8"/>
        <v>-6321161.6784313731</v>
      </c>
      <c r="P39" s="6">
        <f t="shared" si="8"/>
        <v>-6321161.6784313731</v>
      </c>
      <c r="Q39" s="6">
        <f t="shared" si="8"/>
        <v>-6321161.6784313731</v>
      </c>
      <c r="R39" s="6">
        <f t="shared" si="8"/>
        <v>-6321161.6784313731</v>
      </c>
      <c r="S39" s="6">
        <f t="shared" si="8"/>
        <v>-6321161.6784313731</v>
      </c>
      <c r="T39" s="6">
        <f t="shared" si="8"/>
        <v>-6321161.6784313731</v>
      </c>
      <c r="U39" s="6">
        <f t="shared" si="8"/>
        <v>-6321161.6784313731</v>
      </c>
      <c r="V39" s="6">
        <f t="shared" si="8"/>
        <v>-6321161.6784313731</v>
      </c>
      <c r="W39" s="6">
        <f t="shared" si="8"/>
        <v>-6321161.6784313731</v>
      </c>
      <c r="X39" s="6">
        <f t="shared" si="8"/>
        <v>-6321161.6784313731</v>
      </c>
      <c r="Y39" s="6">
        <f t="shared" si="8"/>
        <v>-6321161.6784313731</v>
      </c>
      <c r="Z39" s="6">
        <f t="shared" si="8"/>
        <v>-6321161.6784313731</v>
      </c>
      <c r="AA39" s="6">
        <f t="shared" si="8"/>
        <v>-6321161.6784313731</v>
      </c>
      <c r="AB39" s="6">
        <f t="shared" si="8"/>
        <v>-6321161.6784313731</v>
      </c>
      <c r="AC39" s="6">
        <f t="shared" si="8"/>
        <v>-6321161.6784313731</v>
      </c>
    </row>
    <row r="40" spans="2:34" s="12" customFormat="1" x14ac:dyDescent="0.3">
      <c r="C40" s="33" t="str">
        <f t="shared" si="4"/>
        <v>Emissions: NOx</v>
      </c>
      <c r="G40" s="86">
        <f t="shared" si="5"/>
        <v>1338.8922612315491</v>
      </c>
      <c r="H40" s="86"/>
      <c r="I40" s="86">
        <f t="shared" si="6"/>
        <v>27.634723109427583</v>
      </c>
      <c r="J40" s="86">
        <f t="shared" ref="J40:AC40" si="9">J23-J6</f>
        <v>63.76446250854984</v>
      </c>
      <c r="K40" s="86">
        <f t="shared" si="9"/>
        <v>88.438317638673638</v>
      </c>
      <c r="L40" s="86">
        <f t="shared" si="9"/>
        <v>87.966228829883065</v>
      </c>
      <c r="M40" s="86">
        <f t="shared" si="9"/>
        <v>87.494139288863522</v>
      </c>
      <c r="N40" s="86">
        <f t="shared" si="9"/>
        <v>85.668677621495902</v>
      </c>
      <c r="O40" s="86">
        <f t="shared" si="9"/>
        <v>82.204690586557945</v>
      </c>
      <c r="P40" s="86">
        <f t="shared" si="9"/>
        <v>76.913516469811441</v>
      </c>
      <c r="Q40" s="86">
        <f t="shared" si="9"/>
        <v>71.775780690180653</v>
      </c>
      <c r="R40" s="86">
        <f t="shared" si="9"/>
        <v>66.638044910549866</v>
      </c>
      <c r="S40" s="86">
        <f t="shared" si="9"/>
        <v>61.500309130919057</v>
      </c>
      <c r="T40" s="86">
        <f t="shared" si="9"/>
        <v>56.998849480461502</v>
      </c>
      <c r="U40" s="86">
        <f t="shared" si="9"/>
        <v>53.543835662908393</v>
      </c>
      <c r="V40" s="86">
        <f t="shared" si="9"/>
        <v>53.543835662908393</v>
      </c>
      <c r="W40" s="86">
        <f t="shared" si="9"/>
        <v>53.543835662908393</v>
      </c>
      <c r="X40" s="86">
        <f t="shared" si="9"/>
        <v>53.543835662908393</v>
      </c>
      <c r="Y40" s="86">
        <f t="shared" si="9"/>
        <v>53.543835662908393</v>
      </c>
      <c r="Z40" s="86">
        <f t="shared" si="9"/>
        <v>53.543835662908393</v>
      </c>
      <c r="AA40" s="86">
        <f t="shared" si="9"/>
        <v>53.543835662908393</v>
      </c>
      <c r="AB40" s="86">
        <f t="shared" si="9"/>
        <v>53.543835662908393</v>
      </c>
      <c r="AC40" s="86">
        <f t="shared" si="9"/>
        <v>53.543835662908393</v>
      </c>
    </row>
    <row r="41" spans="2:34" s="33" customFormat="1" x14ac:dyDescent="0.3">
      <c r="C41" s="33" t="str">
        <f t="shared" si="4"/>
        <v>Emissions: PM2.5</v>
      </c>
      <c r="G41" s="86">
        <f t="shared" si="5"/>
        <v>6.461445389650744</v>
      </c>
      <c r="I41" s="11">
        <f t="shared" si="6"/>
        <v>5.219096097355358E-2</v>
      </c>
      <c r="J41" s="11">
        <f t="shared" ref="J41:AC41" si="10">J24-J7</f>
        <v>0.30140447944963911</v>
      </c>
      <c r="K41" s="11">
        <f t="shared" si="10"/>
        <v>0.69817968489119187</v>
      </c>
      <c r="L41" s="11">
        <f t="shared" si="10"/>
        <v>0.69391038338293454</v>
      </c>
      <c r="M41" s="11">
        <f t="shared" si="10"/>
        <v>0.6930486736149134</v>
      </c>
      <c r="N41" s="11">
        <f t="shared" si="10"/>
        <v>0.66732427345982082</v>
      </c>
      <c r="O41" s="11">
        <f t="shared" si="10"/>
        <v>0.61388943552350184</v>
      </c>
      <c r="P41" s="11">
        <f t="shared" si="10"/>
        <v>0.52724779276733758</v>
      </c>
      <c r="Q41" s="11">
        <f t="shared" si="10"/>
        <v>0.43776415384397166</v>
      </c>
      <c r="R41" s="11">
        <f t="shared" si="10"/>
        <v>0.34828051492060591</v>
      </c>
      <c r="S41" s="11">
        <f t="shared" si="10"/>
        <v>0.25693756488627534</v>
      </c>
      <c r="T41" s="11">
        <f t="shared" si="10"/>
        <v>0.17869321632471175</v>
      </c>
      <c r="U41" s="11">
        <f t="shared" si="10"/>
        <v>0.11028602840136487</v>
      </c>
      <c r="V41" s="11">
        <f t="shared" si="10"/>
        <v>0.11028602840136487</v>
      </c>
      <c r="W41" s="11">
        <f t="shared" si="10"/>
        <v>0.11028602840136487</v>
      </c>
      <c r="X41" s="11">
        <f t="shared" si="10"/>
        <v>0.11028602840136487</v>
      </c>
      <c r="Y41" s="11">
        <f t="shared" si="10"/>
        <v>0.11028602840136487</v>
      </c>
      <c r="Z41" s="11">
        <f t="shared" si="10"/>
        <v>0.11028602840136487</v>
      </c>
      <c r="AA41" s="11">
        <f t="shared" si="10"/>
        <v>0.11028602840136487</v>
      </c>
      <c r="AB41" s="11">
        <f t="shared" si="10"/>
        <v>0.11028602840136487</v>
      </c>
      <c r="AC41" s="11">
        <f t="shared" si="10"/>
        <v>0.11028602840136487</v>
      </c>
    </row>
    <row r="42" spans="2:34" s="31" customFormat="1" x14ac:dyDescent="0.3">
      <c r="C42" s="33" t="str">
        <f t="shared" si="4"/>
        <v>Emissions: SOx</v>
      </c>
      <c r="G42" s="86">
        <f t="shared" si="5"/>
        <v>-8.5349222060468186</v>
      </c>
      <c r="I42" s="11">
        <f t="shared" si="6"/>
        <v>-0.12782841353153046</v>
      </c>
      <c r="J42" s="11">
        <f t="shared" ref="J42:AC42" si="11">J25-J8</f>
        <v>-0.27221180780957183</v>
      </c>
      <c r="K42" s="11">
        <f t="shared" si="11"/>
        <v>-0.34039586761883062</v>
      </c>
      <c r="L42" s="11">
        <f t="shared" si="11"/>
        <v>-0.36642064630733595</v>
      </c>
      <c r="M42" s="11">
        <f t="shared" si="11"/>
        <v>-0.39244589776697969</v>
      </c>
      <c r="N42" s="11">
        <f t="shared" si="11"/>
        <v>-0.41847034742943345</v>
      </c>
      <c r="O42" s="11">
        <f t="shared" si="11"/>
        <v>-0.44445641269163538</v>
      </c>
      <c r="P42" s="11">
        <f t="shared" si="11"/>
        <v>-0.441216122381756</v>
      </c>
      <c r="Q42" s="11">
        <f t="shared" si="11"/>
        <v>-0.44113737947500881</v>
      </c>
      <c r="R42" s="11">
        <f t="shared" si="11"/>
        <v>-0.44105863656826166</v>
      </c>
      <c r="S42" s="11">
        <f t="shared" si="11"/>
        <v>-0.44097963487869807</v>
      </c>
      <c r="T42" s="11">
        <f t="shared" si="11"/>
        <v>-0.44090116179954053</v>
      </c>
      <c r="U42" s="11">
        <f t="shared" si="11"/>
        <v>-0.4408222086431377</v>
      </c>
      <c r="V42" s="11">
        <f t="shared" si="11"/>
        <v>-0.4408222086431377</v>
      </c>
      <c r="W42" s="11">
        <f t="shared" si="11"/>
        <v>-0.4408222086431377</v>
      </c>
      <c r="X42" s="11">
        <f t="shared" si="11"/>
        <v>-0.4408222086431377</v>
      </c>
      <c r="Y42" s="11">
        <f t="shared" si="11"/>
        <v>-0.4408222086431377</v>
      </c>
      <c r="Z42" s="11">
        <f t="shared" si="11"/>
        <v>-0.4408222086431377</v>
      </c>
      <c r="AA42" s="11">
        <f t="shared" si="11"/>
        <v>-0.4408222086431377</v>
      </c>
      <c r="AB42" s="11">
        <f t="shared" si="11"/>
        <v>-0.4408222086431377</v>
      </c>
      <c r="AC42" s="11">
        <f t="shared" si="11"/>
        <v>-0.4408222086431377</v>
      </c>
    </row>
    <row r="43" spans="2:34" s="31" customFormat="1" x14ac:dyDescent="0.3">
      <c r="C43" s="33" t="str">
        <f t="shared" si="4"/>
        <v>Emissions: CO2</v>
      </c>
      <c r="G43" s="86">
        <f t="shared" si="5"/>
        <v>254034.47129173786</v>
      </c>
      <c r="I43" s="86">
        <f t="shared" si="6"/>
        <v>1396.4307702938704</v>
      </c>
      <c r="J43" s="86">
        <f t="shared" ref="J43:AC50" si="12">J26-J9</f>
        <v>5979.2563788977814</v>
      </c>
      <c r="K43" s="86">
        <f t="shared" si="12"/>
        <v>9827.8652504498059</v>
      </c>
      <c r="L43" s="86">
        <f t="shared" si="12"/>
        <v>12921.865250449806</v>
      </c>
      <c r="M43" s="86">
        <f t="shared" si="12"/>
        <v>12921.865250449806</v>
      </c>
      <c r="N43" s="86">
        <f t="shared" si="12"/>
        <v>12921.865250449806</v>
      </c>
      <c r="O43" s="86">
        <f t="shared" si="12"/>
        <v>12921.865250449806</v>
      </c>
      <c r="P43" s="86">
        <f t="shared" si="12"/>
        <v>13224.532706449805</v>
      </c>
      <c r="Q43" s="86">
        <f t="shared" si="12"/>
        <v>13224.532706449805</v>
      </c>
      <c r="R43" s="86">
        <f t="shared" si="12"/>
        <v>13224.532706449805</v>
      </c>
      <c r="S43" s="86">
        <f t="shared" si="12"/>
        <v>13224.532706449805</v>
      </c>
      <c r="T43" s="86">
        <f t="shared" si="12"/>
        <v>13224.532706449805</v>
      </c>
      <c r="U43" s="86">
        <f t="shared" si="12"/>
        <v>13224.532706449805</v>
      </c>
      <c r="V43" s="86">
        <f t="shared" si="12"/>
        <v>13224.532706449805</v>
      </c>
      <c r="W43" s="86">
        <f t="shared" si="12"/>
        <v>13224.532706449805</v>
      </c>
      <c r="X43" s="86">
        <f t="shared" si="12"/>
        <v>13224.532706449805</v>
      </c>
      <c r="Y43" s="86">
        <f t="shared" si="12"/>
        <v>13224.532706449805</v>
      </c>
      <c r="Z43" s="86">
        <f t="shared" si="12"/>
        <v>13224.532706449805</v>
      </c>
      <c r="AA43" s="86">
        <f t="shared" si="12"/>
        <v>13224.532706449805</v>
      </c>
      <c r="AB43" s="86">
        <f t="shared" si="12"/>
        <v>13224.532706449805</v>
      </c>
      <c r="AC43" s="86">
        <f t="shared" si="12"/>
        <v>13224.532706449805</v>
      </c>
    </row>
    <row r="44" spans="2:34" s="31" customFormat="1" x14ac:dyDescent="0.3">
      <c r="C44" s="33" t="str">
        <f t="shared" si="4"/>
        <v>$ Emissions Cost: Nox</v>
      </c>
      <c r="G44" s="12">
        <f t="shared" si="5"/>
        <v>21442181.602756016</v>
      </c>
      <c r="I44" s="86">
        <f t="shared" si="6"/>
        <v>401412.22855273844</v>
      </c>
      <c r="J44" s="86">
        <f t="shared" si="12"/>
        <v>937797.8144698207</v>
      </c>
      <c r="K44" s="86">
        <f t="shared" si="12"/>
        <v>1324768.2624040991</v>
      </c>
      <c r="L44" s="86">
        <f t="shared" si="12"/>
        <v>1341654.693002302</v>
      </c>
      <c r="M44" s="86">
        <f t="shared" si="12"/>
        <v>1358283.9599088209</v>
      </c>
      <c r="N44" s="86">
        <f t="shared" si="12"/>
        <v>1353277.3405483693</v>
      </c>
      <c r="O44" s="86">
        <f t="shared" si="12"/>
        <v>1320946.911831208</v>
      </c>
      <c r="P44" s="86">
        <f t="shared" si="12"/>
        <v>1263853.5162084315</v>
      </c>
      <c r="Q44" s="86">
        <f t="shared" si="12"/>
        <v>1179429.5329026508</v>
      </c>
      <c r="R44" s="86">
        <f t="shared" si="12"/>
        <v>1095005.5495968703</v>
      </c>
      <c r="S44" s="86">
        <f t="shared" si="12"/>
        <v>1010581.5662910894</v>
      </c>
      <c r="T44" s="86">
        <f t="shared" si="12"/>
        <v>936612.96014194586</v>
      </c>
      <c r="U44" s="86">
        <f t="shared" si="12"/>
        <v>879839.69632196287</v>
      </c>
      <c r="V44" s="86">
        <f t="shared" si="12"/>
        <v>879839.69632196287</v>
      </c>
      <c r="W44" s="86">
        <f t="shared" si="12"/>
        <v>879839.69632196287</v>
      </c>
      <c r="X44" s="86">
        <f t="shared" si="12"/>
        <v>879839.69632196287</v>
      </c>
      <c r="Y44" s="86">
        <f t="shared" si="12"/>
        <v>879839.69632196287</v>
      </c>
      <c r="Z44" s="86">
        <f t="shared" si="12"/>
        <v>879839.69632196287</v>
      </c>
      <c r="AA44" s="86">
        <f t="shared" si="12"/>
        <v>879839.69632196287</v>
      </c>
      <c r="AB44" s="86">
        <f t="shared" si="12"/>
        <v>879839.69632196287</v>
      </c>
      <c r="AC44" s="86">
        <f t="shared" si="12"/>
        <v>879839.69632196287</v>
      </c>
    </row>
    <row r="45" spans="2:34" s="25" customFormat="1" x14ac:dyDescent="0.3">
      <c r="D45" s="25" t="s">
        <v>96</v>
      </c>
      <c r="E45" s="25" t="s">
        <v>13</v>
      </c>
      <c r="G45" s="26">
        <f>SUM(I45:AH45)</f>
        <v>12162674.704288503</v>
      </c>
      <c r="I45" s="27">
        <f>I44/'1_MODEL_assumptions'!I$132</f>
        <v>401412.22855273844</v>
      </c>
      <c r="J45" s="27">
        <f>J44/'1_MODEL_assumptions'!J$132</f>
        <v>876446.55557927163</v>
      </c>
      <c r="K45" s="27">
        <f>K44/'1_MODEL_assumptions'!K$132</f>
        <v>1157103.9063709485</v>
      </c>
      <c r="L45" s="27">
        <f>L44/'1_MODEL_assumptions'!L$132</f>
        <v>1095189.8774184268</v>
      </c>
      <c r="M45" s="27">
        <f>M44/'1_MODEL_assumptions'!M$132</f>
        <v>1036228.3296153921</v>
      </c>
      <c r="N45" s="27">
        <f>N44/'1_MODEL_assumptions'!N$132</f>
        <v>964868.04081940104</v>
      </c>
      <c r="O45" s="27">
        <f>O44/'1_MODEL_assumptions'!O$132</f>
        <v>880202.70277316193</v>
      </c>
      <c r="P45" s="27">
        <f>P44/'1_MODEL_assumptions'!P$132</f>
        <v>787064.45099873352</v>
      </c>
      <c r="Q45" s="27">
        <f>Q44/'1_MODEL_assumptions'!Q$132</f>
        <v>686438.72634223336</v>
      </c>
      <c r="R45" s="27">
        <f>R44/'1_MODEL_assumptions'!R$132</f>
        <v>595610.46674263757</v>
      </c>
      <c r="S45" s="27">
        <f>S44/'1_MODEL_assumptions'!S$132</f>
        <v>513728.42386846966</v>
      </c>
      <c r="T45" s="27">
        <f>T44/'1_MODEL_assumptions'!T$132</f>
        <v>444978.07036669232</v>
      </c>
      <c r="U45" s="27">
        <f>U44/'1_MODEL_assumptions'!U$132</f>
        <v>390659.34738168831</v>
      </c>
      <c r="V45" s="27">
        <f>V44/'1_MODEL_assumptions'!V$132</f>
        <v>365102.19381466194</v>
      </c>
      <c r="W45" s="27">
        <f>W44/'1_MODEL_assumptions'!W$132</f>
        <v>341217.00356510462</v>
      </c>
      <c r="X45" s="27">
        <f>X44/'1_MODEL_assumptions'!X$132</f>
        <v>318894.3958552379</v>
      </c>
      <c r="Y45" s="27">
        <f>Y44/'1_MODEL_assumptions'!Y$132</f>
        <v>298032.1456591009</v>
      </c>
      <c r="Z45" s="27">
        <f>Z44/'1_MODEL_assumptions'!Z$132</f>
        <v>278534.7155692532</v>
      </c>
      <c r="AA45" s="27">
        <f>AA44/'1_MODEL_assumptions'!AA$132</f>
        <v>260312.81828902164</v>
      </c>
      <c r="AB45" s="27">
        <f>AB44/'1_MODEL_assumptions'!AB$132</f>
        <v>243283.00774674921</v>
      </c>
      <c r="AC45" s="27">
        <f>AC44/'1_MODEL_assumptions'!AC$132</f>
        <v>227367.2969595787</v>
      </c>
      <c r="AD45" s="27">
        <f>AD44/'1_MODEL_assumptions'!AD$132</f>
        <v>0</v>
      </c>
      <c r="AE45" s="27">
        <f>AE44/'1_MODEL_assumptions'!AE$132</f>
        <v>0</v>
      </c>
      <c r="AF45" s="27">
        <f>AF44/'1_MODEL_assumptions'!AF$132</f>
        <v>0</v>
      </c>
      <c r="AG45" s="27">
        <f>AG44/'1_MODEL_assumptions'!AG$132</f>
        <v>0</v>
      </c>
      <c r="AH45" s="27">
        <f>AH44/'1_MODEL_assumptions'!AH$132</f>
        <v>0</v>
      </c>
    </row>
    <row r="46" spans="2:34" s="31" customFormat="1" x14ac:dyDescent="0.3">
      <c r="C46" s="33" t="str">
        <f>C12</f>
        <v>$ Emissions Cost: PM2.5</v>
      </c>
      <c r="G46" s="12">
        <f>SUM(I46:AC46)</f>
        <v>4938770.7060303874</v>
      </c>
      <c r="I46" s="86">
        <f>I29-I12</f>
        <v>36706.615947536891</v>
      </c>
      <c r="J46" s="86">
        <f t="shared" si="12"/>
        <v>215648.54312688205</v>
      </c>
      <c r="K46" s="86">
        <f t="shared" si="12"/>
        <v>508153.11246234097</v>
      </c>
      <c r="L46" s="86">
        <f t="shared" si="12"/>
        <v>513109.40287371789</v>
      </c>
      <c r="M46" s="86">
        <f t="shared" si="12"/>
        <v>520588.71770220553</v>
      </c>
      <c r="N46" s="86">
        <f t="shared" si="12"/>
        <v>509262.62757178885</v>
      </c>
      <c r="O46" s="86">
        <f t="shared" si="12"/>
        <v>475952.40847668686</v>
      </c>
      <c r="P46" s="86">
        <f t="shared" si="12"/>
        <v>415288.4112618629</v>
      </c>
      <c r="Q46" s="86">
        <f t="shared" si="12"/>
        <v>344806.33669998165</v>
      </c>
      <c r="R46" s="86">
        <f t="shared" si="12"/>
        <v>274324.26213810052</v>
      </c>
      <c r="S46" s="86">
        <f t="shared" si="12"/>
        <v>202377.6952295347</v>
      </c>
      <c r="T46" s="86">
        <f t="shared" si="12"/>
        <v>140748.28368889686</v>
      </c>
      <c r="U46" s="86">
        <f t="shared" si="12"/>
        <v>86867.143205650616</v>
      </c>
      <c r="V46" s="86">
        <f t="shared" si="12"/>
        <v>86867.143205650616</v>
      </c>
      <c r="W46" s="86">
        <f t="shared" si="12"/>
        <v>86867.143205650616</v>
      </c>
      <c r="X46" s="86">
        <f t="shared" si="12"/>
        <v>86867.143205650616</v>
      </c>
      <c r="Y46" s="86">
        <f t="shared" si="12"/>
        <v>86867.143205650616</v>
      </c>
      <c r="Z46" s="86">
        <f t="shared" si="12"/>
        <v>86867.143205650616</v>
      </c>
      <c r="AA46" s="86">
        <f t="shared" si="12"/>
        <v>86867.143205650616</v>
      </c>
      <c r="AB46" s="86">
        <f t="shared" si="12"/>
        <v>86867.143205650616</v>
      </c>
      <c r="AC46" s="86">
        <f t="shared" si="12"/>
        <v>86867.143205650616</v>
      </c>
    </row>
    <row r="47" spans="2:34" s="25" customFormat="1" x14ac:dyDescent="0.3">
      <c r="D47" s="25" t="s">
        <v>96</v>
      </c>
      <c r="E47" s="25" t="s">
        <v>13</v>
      </c>
      <c r="G47" s="26">
        <f>SUM(I47:AH47)</f>
        <v>3225482.8662689826</v>
      </c>
      <c r="I47" s="27">
        <f>I46/'1_MODEL_assumptions'!I$132</f>
        <v>36706.615947536891</v>
      </c>
      <c r="J47" s="27">
        <f>J46/'1_MODEL_assumptions'!J$132</f>
        <v>201540.69451110472</v>
      </c>
      <c r="K47" s="27">
        <f>K46/'1_MODEL_assumptions'!K$132</f>
        <v>443840.60831718135</v>
      </c>
      <c r="L47" s="27">
        <f>L46/'1_MODEL_assumptions'!L$132</f>
        <v>418850.11617854872</v>
      </c>
      <c r="M47" s="27">
        <f>M46/'1_MODEL_assumptions'!M$132</f>
        <v>397154.64018097334</v>
      </c>
      <c r="N47" s="27">
        <f>N46/'1_MODEL_assumptions'!N$132</f>
        <v>363097.21518622397</v>
      </c>
      <c r="O47" s="27">
        <f>O46/'1_MODEL_assumptions'!O$132</f>
        <v>317147.1862951807</v>
      </c>
      <c r="P47" s="27">
        <f>P46/'1_MODEL_assumptions'!P$132</f>
        <v>258620.75092098705</v>
      </c>
      <c r="Q47" s="27">
        <f>Q46/'1_MODEL_assumptions'!Q$132</f>
        <v>200680.42727110747</v>
      </c>
      <c r="R47" s="27">
        <f>R46/'1_MODEL_assumptions'!R$132</f>
        <v>149214.2225864119</v>
      </c>
      <c r="S47" s="27">
        <f>S46/'1_MODEL_assumptions'!S$132</f>
        <v>102878.55811378962</v>
      </c>
      <c r="T47" s="27">
        <f>T46/'1_MODEL_assumptions'!T$132</f>
        <v>66868.495684511363</v>
      </c>
      <c r="U47" s="27">
        <f>U46/'1_MODEL_assumptions'!U$132</f>
        <v>38570.050448386457</v>
      </c>
      <c r="V47" s="27">
        <f>V46/'1_MODEL_assumptions'!V$132</f>
        <v>36046.776119987342</v>
      </c>
      <c r="W47" s="27">
        <f>W46/'1_MODEL_assumptions'!W$132</f>
        <v>33688.575813072282</v>
      </c>
      <c r="X47" s="27">
        <f>X46/'1_MODEL_assumptions'!X$132</f>
        <v>31484.650292590915</v>
      </c>
      <c r="Y47" s="27">
        <f>Y46/'1_MODEL_assumptions'!Y$132</f>
        <v>29424.906815505532</v>
      </c>
      <c r="Z47" s="27">
        <f>Z46/'1_MODEL_assumptions'!Z$132</f>
        <v>27499.91291168741</v>
      </c>
      <c r="AA47" s="27">
        <f>AA46/'1_MODEL_assumptions'!AA$132</f>
        <v>25700.853188492907</v>
      </c>
      <c r="AB47" s="27">
        <f>AB46/'1_MODEL_assumptions'!AB$132</f>
        <v>24019.488961208324</v>
      </c>
      <c r="AC47" s="27">
        <f>AC46/'1_MODEL_assumptions'!AC$132</f>
        <v>22448.120524493763</v>
      </c>
      <c r="AD47" s="27">
        <f>AD46/'1_MODEL_assumptions'!AD$132</f>
        <v>0</v>
      </c>
      <c r="AE47" s="27">
        <f>AE46/'1_MODEL_assumptions'!AE$132</f>
        <v>0</v>
      </c>
      <c r="AF47" s="27">
        <f>AF46/'1_MODEL_assumptions'!AF$132</f>
        <v>0</v>
      </c>
      <c r="AG47" s="27">
        <f>AG46/'1_MODEL_assumptions'!AG$132</f>
        <v>0</v>
      </c>
      <c r="AH47" s="27">
        <f>AH46/'1_MODEL_assumptions'!AH$132</f>
        <v>0</v>
      </c>
    </row>
    <row r="48" spans="2:34" s="31" customFormat="1" x14ac:dyDescent="0.3">
      <c r="C48" s="33" t="str">
        <f>C14</f>
        <v>$ Emissions Cost: SOx</v>
      </c>
      <c r="G48" s="12">
        <f>SUM(I48:AC48)</f>
        <v>-374090.16799223551</v>
      </c>
      <c r="I48" s="86">
        <f>I31-I14</f>
        <v>-5001.7291177566622</v>
      </c>
      <c r="J48" s="86">
        <f t="shared" si="12"/>
        <v>-10873.644615180354</v>
      </c>
      <c r="K48" s="86">
        <f t="shared" si="12"/>
        <v>-13875.419388184742</v>
      </c>
      <c r="L48" s="86">
        <f t="shared" si="12"/>
        <v>-15202.381785061509</v>
      </c>
      <c r="M48" s="86">
        <f t="shared" si="12"/>
        <v>-16567.166814493467</v>
      </c>
      <c r="N48" s="86">
        <f t="shared" si="12"/>
        <v>-17969.720774772763</v>
      </c>
      <c r="O48" s="86">
        <f t="shared" si="12"/>
        <v>-19448.75087765486</v>
      </c>
      <c r="P48" s="86">
        <f t="shared" si="12"/>
        <v>-19667.46401175145</v>
      </c>
      <c r="Q48" s="86">
        <f t="shared" si="12"/>
        <v>-19663.954001110247</v>
      </c>
      <c r="R48" s="86">
        <f t="shared" si="12"/>
        <v>-19660.443990469041</v>
      </c>
      <c r="S48" s="86">
        <f t="shared" si="12"/>
        <v>-19656.922444434025</v>
      </c>
      <c r="T48" s="86">
        <f t="shared" si="12"/>
        <v>-19653.424461513794</v>
      </c>
      <c r="U48" s="86">
        <f t="shared" si="12"/>
        <v>-19649.905078872504</v>
      </c>
      <c r="V48" s="86">
        <f t="shared" si="12"/>
        <v>-19649.905078872504</v>
      </c>
      <c r="W48" s="86">
        <f t="shared" si="12"/>
        <v>-19649.905078872504</v>
      </c>
      <c r="X48" s="86">
        <f t="shared" si="12"/>
        <v>-19649.905078872504</v>
      </c>
      <c r="Y48" s="86">
        <f t="shared" si="12"/>
        <v>-19649.905078872504</v>
      </c>
      <c r="Z48" s="86">
        <f t="shared" si="12"/>
        <v>-19649.905078872504</v>
      </c>
      <c r="AA48" s="86">
        <f t="shared" si="12"/>
        <v>-19649.905078872504</v>
      </c>
      <c r="AB48" s="86">
        <f t="shared" si="12"/>
        <v>-19649.905078872504</v>
      </c>
      <c r="AC48" s="86">
        <f t="shared" si="12"/>
        <v>-19649.905078872504</v>
      </c>
    </row>
    <row r="49" spans="1:34" s="25" customFormat="1" x14ac:dyDescent="0.3">
      <c r="D49" s="25" t="s">
        <v>96</v>
      </c>
      <c r="E49" s="25" t="s">
        <v>13</v>
      </c>
      <c r="G49" s="26">
        <f>SUM(I49:AH49)</f>
        <v>-192643.11881310109</v>
      </c>
      <c r="I49" s="27">
        <f>I48/'1_MODEL_assumptions'!I$132</f>
        <v>-5001.7291177566622</v>
      </c>
      <c r="J49" s="27">
        <f>J48/'1_MODEL_assumptions'!J$132</f>
        <v>-10162.284687084442</v>
      </c>
      <c r="K49" s="27">
        <f>K48/'1_MODEL_assumptions'!K$132</f>
        <v>-12119.328664673545</v>
      </c>
      <c r="L49" s="27">
        <f>L48/'1_MODEL_assumptions'!L$132</f>
        <v>-12409.671974829869</v>
      </c>
      <c r="M49" s="27">
        <f>M48/'1_MODEL_assumptions'!M$132</f>
        <v>-12639.012239969716</v>
      </c>
      <c r="N49" s="27">
        <f>N48/'1_MODEL_assumptions'!N$132</f>
        <v>-12812.162561593537</v>
      </c>
      <c r="O49" s="27">
        <f>O48/'1_MODEL_assumptions'!O$132</f>
        <v>-12959.523910269889</v>
      </c>
      <c r="P49" s="27">
        <f>P48/'1_MODEL_assumptions'!P$132</f>
        <v>-12247.9081368427</v>
      </c>
      <c r="Q49" s="27">
        <f>Q48/'1_MODEL_assumptions'!Q$132</f>
        <v>-11444.60026039428</v>
      </c>
      <c r="R49" s="27">
        <f>R48/'1_MODEL_assumptions'!R$132</f>
        <v>-10693.978880601848</v>
      </c>
      <c r="S49" s="27">
        <f>S48/'1_MODEL_assumptions'!S$132</f>
        <v>-9992.5826101750827</v>
      </c>
      <c r="T49" s="27">
        <f>T48/'1_MODEL_assumptions'!T$132</f>
        <v>-9337.2003860127879</v>
      </c>
      <c r="U49" s="27">
        <f>U48/'1_MODEL_assumptions'!U$132</f>
        <v>-8724.792852964656</v>
      </c>
      <c r="V49" s="27">
        <f>V48/'1_MODEL_assumptions'!V$132</f>
        <v>-8154.0120121165</v>
      </c>
      <c r="W49" s="27">
        <f>W48/'1_MODEL_assumptions'!W$132</f>
        <v>-7620.5719739406541</v>
      </c>
      <c r="X49" s="27">
        <f>X48/'1_MODEL_assumptions'!X$132</f>
        <v>-7122.0298821875267</v>
      </c>
      <c r="Y49" s="27">
        <f>Y48/'1_MODEL_assumptions'!Y$132</f>
        <v>-6656.1026936332028</v>
      </c>
      <c r="Z49" s="27">
        <f>Z48/'1_MODEL_assumptions'!Z$132</f>
        <v>-6220.6567230216851</v>
      </c>
      <c r="AA49" s="27">
        <f>AA48/'1_MODEL_assumptions'!AA$132</f>
        <v>-5813.697871982883</v>
      </c>
      <c r="AB49" s="27">
        <f>AB48/'1_MODEL_assumptions'!AB$132</f>
        <v>-5433.3624971802647</v>
      </c>
      <c r="AC49" s="27">
        <f>AC48/'1_MODEL_assumptions'!AC$132</f>
        <v>-5077.9088758694061</v>
      </c>
      <c r="AD49" s="27">
        <f>AD48/'1_MODEL_assumptions'!AD$132</f>
        <v>0</v>
      </c>
      <c r="AE49" s="27">
        <f>AE48/'1_MODEL_assumptions'!AE$132</f>
        <v>0</v>
      </c>
      <c r="AF49" s="27">
        <f>AF48/'1_MODEL_assumptions'!AF$132</f>
        <v>0</v>
      </c>
      <c r="AG49" s="27">
        <f>AG48/'1_MODEL_assumptions'!AG$132</f>
        <v>0</v>
      </c>
      <c r="AH49" s="27">
        <f>AH48/'1_MODEL_assumptions'!AH$132</f>
        <v>0</v>
      </c>
    </row>
    <row r="50" spans="1:34" s="31" customFormat="1" x14ac:dyDescent="0.3">
      <c r="C50" s="33" t="str">
        <f>C16</f>
        <v>$ Emissions Cost: CO2</v>
      </c>
      <c r="G50" s="12">
        <f>SUM(I50:AC50)</f>
        <v>15244989.948768068</v>
      </c>
      <c r="I50" s="86">
        <f>I33-I16</f>
        <v>68458.70321912755</v>
      </c>
      <c r="J50" s="86">
        <f t="shared" si="12"/>
        <v>298555.69753915392</v>
      </c>
      <c r="K50" s="86">
        <f t="shared" si="12"/>
        <v>499646.34954624536</v>
      </c>
      <c r="L50" s="86">
        <f t="shared" si="12"/>
        <v>668675.73243362596</v>
      </c>
      <c r="M50" s="86">
        <f t="shared" si="12"/>
        <v>680406.88563421601</v>
      </c>
      <c r="N50" s="86">
        <f t="shared" si="12"/>
        <v>703869.19203539577</v>
      </c>
      <c r="O50" s="86">
        <f t="shared" si="12"/>
        <v>715600.3452359857</v>
      </c>
      <c r="P50" s="86">
        <f t="shared" si="12"/>
        <v>744367.70567397913</v>
      </c>
      <c r="Q50" s="86">
        <f t="shared" si="12"/>
        <v>756373.63641065627</v>
      </c>
      <c r="R50" s="86">
        <f t="shared" si="12"/>
        <v>768379.56714733317</v>
      </c>
      <c r="S50" s="86">
        <f t="shared" si="12"/>
        <v>780385.49788401043</v>
      </c>
      <c r="T50" s="86">
        <f t="shared" si="12"/>
        <v>792391.42862068745</v>
      </c>
      <c r="U50" s="86">
        <f t="shared" si="12"/>
        <v>804397.35935736471</v>
      </c>
      <c r="V50" s="86">
        <f t="shared" si="12"/>
        <v>828409.22083071852</v>
      </c>
      <c r="W50" s="86">
        <f t="shared" si="12"/>
        <v>840415.15156739578</v>
      </c>
      <c r="X50" s="86">
        <f t="shared" si="12"/>
        <v>852421.0823040728</v>
      </c>
      <c r="Y50" s="86">
        <f t="shared" si="12"/>
        <v>864427.01304075005</v>
      </c>
      <c r="Z50" s="86">
        <f t="shared" si="12"/>
        <v>876432.94377742708</v>
      </c>
      <c r="AA50" s="86">
        <f t="shared" si="12"/>
        <v>888438.87451410422</v>
      </c>
      <c r="AB50" s="86">
        <f t="shared" si="12"/>
        <v>900444.80525078112</v>
      </c>
      <c r="AC50" s="86">
        <f t="shared" si="12"/>
        <v>912492.75674503669</v>
      </c>
    </row>
    <row r="51" spans="1:34" s="25" customFormat="1" x14ac:dyDescent="0.3">
      <c r="D51" s="25" t="s">
        <v>96</v>
      </c>
      <c r="E51" s="25" t="s">
        <v>13</v>
      </c>
      <c r="G51" s="26">
        <f>SUM(I51:AH51)</f>
        <v>7576098.3103767438</v>
      </c>
      <c r="I51" s="27">
        <f>I50/'1_MODEL_assumptions'!I$132</f>
        <v>68458.70321912755</v>
      </c>
      <c r="J51" s="27">
        <f>J50/'1_MODEL_assumptions'!J$132</f>
        <v>279024.01639173261</v>
      </c>
      <c r="K51" s="27">
        <f>K50/'1_MODEL_assumptions'!K$132</f>
        <v>436410.47213402513</v>
      </c>
      <c r="L51" s="27">
        <f>L50/'1_MODEL_assumptions'!L$132</f>
        <v>545838.58071400423</v>
      </c>
      <c r="M51" s="27">
        <f>M50/'1_MODEL_assumptions'!M$132</f>
        <v>519079.15529451147</v>
      </c>
      <c r="N51" s="27">
        <f>N50/'1_MODEL_assumptions'!N$132</f>
        <v>501849.00608557329</v>
      </c>
      <c r="O51" s="27">
        <f>O50/'1_MODEL_assumptions'!O$132</f>
        <v>476834.72540841083</v>
      </c>
      <c r="P51" s="27">
        <f>P50/'1_MODEL_assumptions'!P$132</f>
        <v>463554.7965756958</v>
      </c>
      <c r="Q51" s="27">
        <f>Q50/'1_MODEL_assumptions'!Q$132</f>
        <v>440216.34284396801</v>
      </c>
      <c r="R51" s="27">
        <f>R50/'1_MODEL_assumptions'!R$132</f>
        <v>417947.57368363661</v>
      </c>
      <c r="S51" s="27">
        <f>S50/'1_MODEL_assumptions'!S$132</f>
        <v>396708.415441536</v>
      </c>
      <c r="T51" s="27">
        <f>T50/'1_MODEL_assumptions'!T$132</f>
        <v>376459.45965695719</v>
      </c>
      <c r="U51" s="27">
        <f>U50/'1_MODEL_assumptions'!U$132</f>
        <v>357162.04753633734</v>
      </c>
      <c r="V51" s="27">
        <f>V50/'1_MODEL_assumptions'!V$132</f>
        <v>343760.37494779273</v>
      </c>
      <c r="W51" s="27">
        <f>W50/'1_MODEL_assumptions'!W$132</f>
        <v>325927.48539002438</v>
      </c>
      <c r="X51" s="27">
        <f>X50/'1_MODEL_assumptions'!X$132</f>
        <v>308956.62834034348</v>
      </c>
      <c r="Y51" s="27">
        <f>Y50/'1_MODEL_assumptions'!Y$132</f>
        <v>292811.33658687293</v>
      </c>
      <c r="Z51" s="27">
        <f>Z50/'1_MODEL_assumptions'!Z$132</f>
        <v>277456.22495900473</v>
      </c>
      <c r="AA51" s="27">
        <f>AA50/'1_MODEL_assumptions'!AA$132</f>
        <v>262857.00482609589</v>
      </c>
      <c r="AB51" s="27">
        <f>AB50/'1_MODEL_assumptions'!AB$132</f>
        <v>248980.4920681635</v>
      </c>
      <c r="AC51" s="27">
        <f>AC50/'1_MODEL_assumptions'!AC$132</f>
        <v>235805.46827293045</v>
      </c>
      <c r="AD51" s="27">
        <f>AD50/'1_MODEL_assumptions'!AD$132</f>
        <v>0</v>
      </c>
      <c r="AE51" s="27">
        <f>AE50/'1_MODEL_assumptions'!AE$132</f>
        <v>0</v>
      </c>
      <c r="AF51" s="27">
        <f>AF50/'1_MODEL_assumptions'!AF$132</f>
        <v>0</v>
      </c>
      <c r="AG51" s="27">
        <f>AG50/'1_MODEL_assumptions'!AG$132</f>
        <v>0</v>
      </c>
      <c r="AH51" s="27">
        <f>AH50/'1_MODEL_assumptions'!AH$132</f>
        <v>0</v>
      </c>
    </row>
    <row r="52" spans="1:34" s="25" customFormat="1" x14ac:dyDescent="0.3">
      <c r="D52" s="25" t="s">
        <v>395</v>
      </c>
      <c r="E52" s="25" t="s">
        <v>13</v>
      </c>
      <c r="G52" s="26">
        <f>SUM(I52:AH52)</f>
        <v>11037147.245082475</v>
      </c>
      <c r="I52" s="27">
        <f>I50/'1_MODEL_assumptions'!I$136</f>
        <v>68458.70321912755</v>
      </c>
      <c r="J52" s="27">
        <f>J50/'1_MODEL_assumptions'!J$136</f>
        <v>289859.9005234504</v>
      </c>
      <c r="K52" s="27">
        <f>K50/'1_MODEL_assumptions'!K$136</f>
        <v>470964.60509590479</v>
      </c>
      <c r="L52" s="27">
        <f>L50/'1_MODEL_assumptions'!L$136</f>
        <v>611933.01934849785</v>
      </c>
      <c r="M52" s="27">
        <f>M50/'1_MODEL_assumptions'!M$136</f>
        <v>604532.70519865234</v>
      </c>
      <c r="N52" s="27">
        <f>N50/'1_MODEL_assumptions'!N$136</f>
        <v>607163.74810711655</v>
      </c>
      <c r="O52" s="27">
        <f>O50/'1_MODEL_assumptions'!O$136</f>
        <v>599304.02321252599</v>
      </c>
      <c r="P52" s="27">
        <f>P50/'1_MODEL_assumptions'!P$136</f>
        <v>605239.06280164036</v>
      </c>
      <c r="Q52" s="27">
        <f>Q50/'1_MODEL_assumptions'!Q$136</f>
        <v>597088.33317418338</v>
      </c>
      <c r="R52" s="27">
        <f>R50/'1_MODEL_assumptions'!R$136</f>
        <v>588898.9570526696</v>
      </c>
      <c r="S52" s="27">
        <f>S50/'1_MODEL_assumptions'!S$136</f>
        <v>580680.10024914332</v>
      </c>
      <c r="T52" s="27">
        <f>T50/'1_MODEL_assumptions'!T$136</f>
        <v>572440.42743007408</v>
      </c>
      <c r="U52" s="27">
        <f>U50/'1_MODEL_assumptions'!U$136</f>
        <v>564188.12353361247</v>
      </c>
      <c r="V52" s="27">
        <f>V50/'1_MODEL_assumptions'!V$136</f>
        <v>564106.36898738216</v>
      </c>
      <c r="W52" s="27">
        <f>W50/'1_MODEL_assumptions'!W$136</f>
        <v>555613.42098095908</v>
      </c>
      <c r="X52" s="27">
        <f>X50/'1_MODEL_assumptions'!X$136</f>
        <v>547136.65588970995</v>
      </c>
      <c r="Y52" s="27">
        <f>Y50/'1_MODEL_assumptions'!Y$136</f>
        <v>538682.33589579014</v>
      </c>
      <c r="Z52" s="27">
        <f>Z50/'1_MODEL_assumptions'!Z$136</f>
        <v>530256.34466548916</v>
      </c>
      <c r="AA52" s="27">
        <f>AA50/'1_MODEL_assumptions'!AA$136</f>
        <v>521864.20408626413</v>
      </c>
      <c r="AB52" s="27">
        <f>AB50/'1_MODEL_assumptions'!AB$136</f>
        <v>513511.09034990554</v>
      </c>
      <c r="AC52" s="27">
        <f>AC50/'1_MODEL_assumptions'!AC$136</f>
        <v>505225.11528037611</v>
      </c>
      <c r="AD52" s="27">
        <f>AD50/'1_MODEL_assumptions'!AD$136</f>
        <v>0</v>
      </c>
      <c r="AE52" s="27">
        <f>AE50/'1_MODEL_assumptions'!AE$136</f>
        <v>0</v>
      </c>
      <c r="AF52" s="27">
        <f>AF50/'1_MODEL_assumptions'!AF$136</f>
        <v>0</v>
      </c>
      <c r="AG52" s="27">
        <f>AG50/'1_MODEL_assumptions'!AG$136</f>
        <v>0</v>
      </c>
      <c r="AH52" s="27">
        <f>AH50/'1_MODEL_assumptions'!AH$136</f>
        <v>0</v>
      </c>
    </row>
    <row r="53" spans="1:34" s="31" customFormat="1" x14ac:dyDescent="0.3">
      <c r="A53" s="31" t="s">
        <v>320</v>
      </c>
    </row>
    <row r="54" spans="1:34" s="31" customFormat="1" x14ac:dyDescent="0.3">
      <c r="B54" s="31" t="s">
        <v>468</v>
      </c>
    </row>
    <row r="55" spans="1:34" x14ac:dyDescent="0.3">
      <c r="C55" s="34" t="str">
        <f>'5_Safety'!D38</f>
        <v>Cost of Claims</v>
      </c>
      <c r="G55" s="12">
        <f t="shared" ref="G55" si="13">SUM(I55:AC55)</f>
        <v>117503431.91831872</v>
      </c>
      <c r="I55" s="13">
        <f>'5_Safety'!I38</f>
        <v>7437580.9057312366</v>
      </c>
      <c r="J55" s="13">
        <f>'5_Safety'!J38</f>
        <v>6657163.0102352249</v>
      </c>
      <c r="K55" s="13">
        <f>'5_Safety'!K38</f>
        <v>5442562.5264395922</v>
      </c>
      <c r="L55" s="13">
        <f>'5_Safety'!L38</f>
        <v>5442562.5264395922</v>
      </c>
      <c r="M55" s="13">
        <f>'5_Safety'!M38</f>
        <v>5442562.5264395922</v>
      </c>
      <c r="N55" s="13">
        <f>'5_Safety'!N38</f>
        <v>5442562.5264395922</v>
      </c>
      <c r="O55" s="13">
        <f>'5_Safety'!O38</f>
        <v>5442562.5264395922</v>
      </c>
      <c r="P55" s="13">
        <f>'5_Safety'!P38</f>
        <v>5442562.5264395922</v>
      </c>
      <c r="Q55" s="13">
        <f>'5_Safety'!Q38</f>
        <v>5442562.5264395922</v>
      </c>
      <c r="R55" s="13">
        <f>'5_Safety'!R38</f>
        <v>5442562.5264395922</v>
      </c>
      <c r="S55" s="13">
        <f>'5_Safety'!S38</f>
        <v>5442562.5264395922</v>
      </c>
      <c r="T55" s="13">
        <f>'5_Safety'!T38</f>
        <v>5442562.5264395922</v>
      </c>
      <c r="U55" s="13">
        <f>'5_Safety'!U38</f>
        <v>5442562.5264395922</v>
      </c>
      <c r="V55" s="13">
        <f>'5_Safety'!V38</f>
        <v>5442562.5264395922</v>
      </c>
      <c r="W55" s="13">
        <f>'5_Safety'!W38</f>
        <v>5442562.5264395922</v>
      </c>
      <c r="X55" s="13">
        <f>'5_Safety'!X38</f>
        <v>5442562.5264395922</v>
      </c>
      <c r="Y55" s="13">
        <f>'5_Safety'!Y38</f>
        <v>5442562.5264395922</v>
      </c>
      <c r="Z55" s="13">
        <f>'5_Safety'!Z38</f>
        <v>5442562.5264395922</v>
      </c>
      <c r="AA55" s="13">
        <f>'5_Safety'!AA38</f>
        <v>5442562.5264395922</v>
      </c>
      <c r="AB55" s="13">
        <f>'5_Safety'!AB38</f>
        <v>5442562.5264395922</v>
      </c>
      <c r="AC55" s="13">
        <f>'5_Safety'!AC38</f>
        <v>5442562.5264395922</v>
      </c>
    </row>
    <row r="56" spans="1:34" s="25" customFormat="1" x14ac:dyDescent="0.3">
      <c r="D56" s="25" t="s">
        <v>96</v>
      </c>
      <c r="E56" s="25" t="s">
        <v>13</v>
      </c>
      <c r="G56" s="26">
        <f>SUM(I56:AH56)</f>
        <v>66231306.482006043</v>
      </c>
      <c r="I56" s="27">
        <f>I55/'1_MODEL_assumptions'!I$132</f>
        <v>7437580.9057312366</v>
      </c>
      <c r="J56" s="27">
        <f>J55/'1_MODEL_assumptions'!J$132</f>
        <v>6221647.6731170323</v>
      </c>
      <c r="K56" s="27">
        <f>K55/'1_MODEL_assumptions'!K$132</f>
        <v>4753744.8916408354</v>
      </c>
      <c r="L56" s="27">
        <f>L55/'1_MODEL_assumptions'!L$132</f>
        <v>4442752.2351783505</v>
      </c>
      <c r="M56" s="27">
        <f>M55/'1_MODEL_assumptions'!M$132</f>
        <v>4152104.8926900472</v>
      </c>
      <c r="N56" s="27">
        <f>N55/'1_MODEL_assumptions'!N$132</f>
        <v>3880471.8623271468</v>
      </c>
      <c r="O56" s="27">
        <f>O55/'1_MODEL_assumptions'!O$132</f>
        <v>3626609.2171281748</v>
      </c>
      <c r="P56" s="27">
        <f>P55/'1_MODEL_assumptions'!P$132</f>
        <v>3389354.4085310041</v>
      </c>
      <c r="Q56" s="27">
        <f>Q55/'1_MODEL_assumptions'!Q$132</f>
        <v>3167620.9425523402</v>
      </c>
      <c r="R56" s="27">
        <f>R55/'1_MODEL_assumptions'!R$132</f>
        <v>2960393.4042545236</v>
      </c>
      <c r="S56" s="27">
        <f>S55/'1_MODEL_assumptions'!S$132</f>
        <v>2766722.8077145079</v>
      </c>
      <c r="T56" s="27">
        <f>T55/'1_MODEL_assumptions'!T$132</f>
        <v>2585722.2502004746</v>
      </c>
      <c r="U56" s="27">
        <f>U55/'1_MODEL_assumptions'!U$132</f>
        <v>2416562.8506546495</v>
      </c>
      <c r="V56" s="27">
        <f>V55/'1_MODEL_assumptions'!V$132</f>
        <v>2258469.9538828498</v>
      </c>
      <c r="W56" s="27">
        <f>W55/'1_MODEL_assumptions'!W$132</f>
        <v>2110719.583068084</v>
      </c>
      <c r="X56" s="27">
        <f>X55/'1_MODEL_assumptions'!X$132</f>
        <v>1972635.124362695</v>
      </c>
      <c r="Y56" s="27">
        <f>Y55/'1_MODEL_assumptions'!Y$132</f>
        <v>1843584.2283763508</v>
      </c>
      <c r="Z56" s="27">
        <f>Z55/'1_MODEL_assumptions'!Z$132</f>
        <v>1722975.9143704213</v>
      </c>
      <c r="AA56" s="27">
        <f>AA55/'1_MODEL_assumptions'!AA$132</f>
        <v>1610257.86389759</v>
      </c>
      <c r="AB56" s="27">
        <f>AB55/'1_MODEL_assumptions'!AB$132</f>
        <v>1504913.8914930746</v>
      </c>
      <c r="AC56" s="27">
        <f>AC55/'1_MODEL_assumptions'!AC$132</f>
        <v>1406461.5808346493</v>
      </c>
      <c r="AD56" s="27">
        <f>AD55/'1_MODEL_assumptions'!AD$132</f>
        <v>0</v>
      </c>
      <c r="AE56" s="27">
        <f>AE55/'1_MODEL_assumptions'!AE$132</f>
        <v>0</v>
      </c>
      <c r="AF56" s="27">
        <f>AF55/'1_MODEL_assumptions'!AF$132</f>
        <v>0</v>
      </c>
      <c r="AG56" s="27">
        <f>AG55/'1_MODEL_assumptions'!AG$132</f>
        <v>0</v>
      </c>
      <c r="AH56" s="27">
        <f>AH55/'1_MODEL_assumptions'!AH$132</f>
        <v>0</v>
      </c>
    </row>
    <row r="57" spans="1:34" x14ac:dyDescent="0.3">
      <c r="B57" s="31" t="s">
        <v>469</v>
      </c>
      <c r="I57" s="13"/>
      <c r="J57" s="13"/>
      <c r="K57" s="13"/>
      <c r="L57" s="13"/>
      <c r="M57" s="13"/>
      <c r="N57" s="13"/>
      <c r="O57" s="13"/>
      <c r="P57" s="13"/>
      <c r="Q57" s="13"/>
      <c r="R57" s="13"/>
      <c r="S57" s="13"/>
      <c r="T57" s="13"/>
      <c r="U57" s="13"/>
      <c r="V57" s="13"/>
      <c r="W57" s="13"/>
      <c r="X57" s="13"/>
      <c r="Y57" s="13"/>
      <c r="Z57" s="13"/>
      <c r="AA57" s="13"/>
      <c r="AB57" s="13"/>
      <c r="AC57" s="13"/>
    </row>
    <row r="58" spans="1:34" x14ac:dyDescent="0.3">
      <c r="C58" s="34" t="str">
        <f>C55</f>
        <v>Cost of Claims</v>
      </c>
      <c r="G58" s="12">
        <f t="shared" ref="G58:G60" si="14">SUM(I58:AC58)</f>
        <v>168287477.76792279</v>
      </c>
      <c r="I58" s="13">
        <f>'5_Safety'!I30</f>
        <v>7733501.0336605553</v>
      </c>
      <c r="J58" s="13">
        <f>'5_Safety'!J30</f>
        <v>7733501.0336605553</v>
      </c>
      <c r="K58" s="13">
        <f>'5_Safety'!K30</f>
        <v>7733501.0336605553</v>
      </c>
      <c r="L58" s="13">
        <f>'5_Safety'!L30</f>
        <v>7733501.0336605553</v>
      </c>
      <c r="M58" s="13">
        <f>'5_Safety'!M30</f>
        <v>7733501.0336605553</v>
      </c>
      <c r="N58" s="13">
        <f>'5_Safety'!N30</f>
        <v>7733501.0336605553</v>
      </c>
      <c r="O58" s="13">
        <f>'5_Safety'!O30</f>
        <v>7733501.0336605553</v>
      </c>
      <c r="P58" s="13">
        <f>'5_Safety'!P30</f>
        <v>8153783.6094499156</v>
      </c>
      <c r="Q58" s="13">
        <f>'5_Safety'!Q30</f>
        <v>8153783.6094499156</v>
      </c>
      <c r="R58" s="13">
        <f>'5_Safety'!R30</f>
        <v>8153783.6094499156</v>
      </c>
      <c r="S58" s="13">
        <f>'5_Safety'!S30</f>
        <v>8153783.6094499156</v>
      </c>
      <c r="T58" s="13">
        <f>'5_Safety'!T30</f>
        <v>8153783.6094499156</v>
      </c>
      <c r="U58" s="13">
        <f>'5_Safety'!U30</f>
        <v>8153783.6094499156</v>
      </c>
      <c r="V58" s="13">
        <f>'5_Safety'!V30</f>
        <v>8153783.6094499156</v>
      </c>
      <c r="W58" s="13">
        <f>'5_Safety'!W30</f>
        <v>8153783.6094499156</v>
      </c>
      <c r="X58" s="13">
        <f>'5_Safety'!X30</f>
        <v>8153783.6094499156</v>
      </c>
      <c r="Y58" s="13">
        <f>'5_Safety'!Y30</f>
        <v>8153783.6094499156</v>
      </c>
      <c r="Z58" s="13">
        <f>'5_Safety'!Z30</f>
        <v>8153783.6094499156</v>
      </c>
      <c r="AA58" s="13">
        <f>'5_Safety'!AA30</f>
        <v>8153783.6094499156</v>
      </c>
      <c r="AB58" s="13">
        <f>'5_Safety'!AB30</f>
        <v>8153783.6094499156</v>
      </c>
      <c r="AC58" s="13">
        <f>'5_Safety'!AC30</f>
        <v>8153783.6094499156</v>
      </c>
    </row>
    <row r="59" spans="1:34" s="25" customFormat="1" x14ac:dyDescent="0.3">
      <c r="D59" s="25" t="s">
        <v>96</v>
      </c>
      <c r="E59" s="25" t="s">
        <v>13</v>
      </c>
      <c r="G59" s="26">
        <f>SUM(I59:AH59)</f>
        <v>92111507.181221351</v>
      </c>
      <c r="I59" s="27">
        <f>I58/'1_MODEL_assumptions'!I$132</f>
        <v>7733501.0336605553</v>
      </c>
      <c r="J59" s="27">
        <f>J58/'1_MODEL_assumptions'!J$132</f>
        <v>7227571.0594958458</v>
      </c>
      <c r="K59" s="27">
        <f>K58/'1_MODEL_assumptions'!K$132</f>
        <v>6754739.3079400426</v>
      </c>
      <c r="L59" s="27">
        <f>L58/'1_MODEL_assumptions'!L$132</f>
        <v>6312840.4747103201</v>
      </c>
      <c r="M59" s="27">
        <f>M58/'1_MODEL_assumptions'!M$132</f>
        <v>5899850.9109442243</v>
      </c>
      <c r="N59" s="27">
        <f>N58/'1_MODEL_assumptions'!N$132</f>
        <v>5513879.3560226392</v>
      </c>
      <c r="O59" s="27">
        <f>O58/'1_MODEL_assumptions'!O$132</f>
        <v>5153158.2766566724</v>
      </c>
      <c r="P59" s="27">
        <f>P58/'1_MODEL_assumptions'!P$132</f>
        <v>5077766.6381677445</v>
      </c>
      <c r="Q59" s="27">
        <f>Q58/'1_MODEL_assumptions'!Q$132</f>
        <v>4745576.297353032</v>
      </c>
      <c r="R59" s="27">
        <f>R58/'1_MODEL_assumptions'!R$132</f>
        <v>4435118.0349093759</v>
      </c>
      <c r="S59" s="27">
        <f>S58/'1_MODEL_assumptions'!S$132</f>
        <v>4144970.1260835291</v>
      </c>
      <c r="T59" s="27">
        <f>T58/'1_MODEL_assumptions'!T$132</f>
        <v>3873803.8561528302</v>
      </c>
      <c r="U59" s="27">
        <f>U58/'1_MODEL_assumptions'!U$132</f>
        <v>3620377.4356568512</v>
      </c>
      <c r="V59" s="27">
        <f>V58/'1_MODEL_assumptions'!V$132</f>
        <v>3383530.3136979914</v>
      </c>
      <c r="W59" s="27">
        <f>W58/'1_MODEL_assumptions'!W$132</f>
        <v>3162177.8632691512</v>
      </c>
      <c r="X59" s="27">
        <f>X58/'1_MODEL_assumptions'!X$132</f>
        <v>2955306.4142702343</v>
      </c>
      <c r="Y59" s="27">
        <f>Y58/'1_MODEL_assumptions'!Y$132</f>
        <v>2761968.6114675091</v>
      </c>
      <c r="Z59" s="27">
        <f>Z58/'1_MODEL_assumptions'!Z$132</f>
        <v>2581279.0761378589</v>
      </c>
      <c r="AA59" s="27">
        <f>AA58/'1_MODEL_assumptions'!AA$132</f>
        <v>2412410.3515307093</v>
      </c>
      <c r="AB59" s="27">
        <f>AB58/'1_MODEL_assumptions'!AB$132</f>
        <v>2254589.1135801021</v>
      </c>
      <c r="AC59" s="27">
        <f>AC58/'1_MODEL_assumptions'!AC$132</f>
        <v>2107092.629514114</v>
      </c>
      <c r="AD59" s="27">
        <f>AD58/'1_MODEL_assumptions'!AD$132</f>
        <v>0</v>
      </c>
      <c r="AE59" s="27">
        <f>AE58/'1_MODEL_assumptions'!AE$132</f>
        <v>0</v>
      </c>
      <c r="AF59" s="27">
        <f>AF58/'1_MODEL_assumptions'!AF$132</f>
        <v>0</v>
      </c>
      <c r="AG59" s="27">
        <f>AG58/'1_MODEL_assumptions'!AG$132</f>
        <v>0</v>
      </c>
      <c r="AH59" s="27">
        <f>AH58/'1_MODEL_assumptions'!AH$132</f>
        <v>0</v>
      </c>
    </row>
    <row r="60" spans="1:34" x14ac:dyDescent="0.3">
      <c r="B60" s="31" t="s">
        <v>470</v>
      </c>
    </row>
    <row r="61" spans="1:34" x14ac:dyDescent="0.3">
      <c r="C61" s="34" t="str">
        <f>C58</f>
        <v>Cost of Claims</v>
      </c>
      <c r="G61" s="12">
        <f>SUM(I61:AC61)</f>
        <v>50784045.849603988</v>
      </c>
      <c r="I61" s="13">
        <f>I58-I55</f>
        <v>295920.1279293187</v>
      </c>
      <c r="J61" s="13">
        <f>J58-J55</f>
        <v>1076338.0234253304</v>
      </c>
      <c r="K61" s="13">
        <f>K58-K55</f>
        <v>2290938.507220963</v>
      </c>
      <c r="L61" s="13">
        <f>L58-L55</f>
        <v>2290938.507220963</v>
      </c>
      <c r="M61" s="13">
        <f>M58-M55</f>
        <v>2290938.507220963</v>
      </c>
      <c r="N61" s="13">
        <f>N58-N55</f>
        <v>2290938.507220963</v>
      </c>
      <c r="O61" s="13">
        <f>O58-O55</f>
        <v>2290938.507220963</v>
      </c>
      <c r="P61" s="13">
        <f>P58-P55</f>
        <v>2711221.0830103233</v>
      </c>
      <c r="Q61" s="13">
        <f>Q58-Q55</f>
        <v>2711221.0830103233</v>
      </c>
      <c r="R61" s="13">
        <f>R58-R55</f>
        <v>2711221.0830103233</v>
      </c>
      <c r="S61" s="13">
        <f>S58-S55</f>
        <v>2711221.0830103233</v>
      </c>
      <c r="T61" s="13">
        <f>T58-T55</f>
        <v>2711221.0830103233</v>
      </c>
      <c r="U61" s="13">
        <f>U58-U55</f>
        <v>2711221.0830103233</v>
      </c>
      <c r="V61" s="13">
        <f>V58-V55</f>
        <v>2711221.0830103233</v>
      </c>
      <c r="W61" s="13">
        <f>W58-W55</f>
        <v>2711221.0830103233</v>
      </c>
      <c r="X61" s="13">
        <f>X58-X55</f>
        <v>2711221.0830103233</v>
      </c>
      <c r="Y61" s="13">
        <f>Y58-Y55</f>
        <v>2711221.0830103233</v>
      </c>
      <c r="Z61" s="13">
        <f>Z58-Z55</f>
        <v>2711221.0830103233</v>
      </c>
      <c r="AA61" s="13">
        <f>AA58-AA55</f>
        <v>2711221.0830103233</v>
      </c>
      <c r="AB61" s="13">
        <f>AB58-AB55</f>
        <v>2711221.0830103233</v>
      </c>
      <c r="AC61" s="13">
        <f>AC58-AC55</f>
        <v>2711221.0830103233</v>
      </c>
    </row>
    <row r="62" spans="1:34" s="25" customFormat="1" x14ac:dyDescent="0.3">
      <c r="D62" s="25" t="s">
        <v>96</v>
      </c>
      <c r="E62" s="25" t="s">
        <v>13</v>
      </c>
      <c r="G62" s="26">
        <f>SUM(I62:AH62)</f>
        <v>25880200.699215297</v>
      </c>
      <c r="I62" s="27">
        <f>I61/'1_MODEL_assumptions'!I$132</f>
        <v>295920.1279293187</v>
      </c>
      <c r="J62" s="27">
        <f>J61/'1_MODEL_assumptions'!J$132</f>
        <v>1005923.3863788134</v>
      </c>
      <c r="K62" s="27">
        <f>K61/'1_MODEL_assumptions'!K$132</f>
        <v>2000994.4162992078</v>
      </c>
      <c r="L62" s="27">
        <f>L61/'1_MODEL_assumptions'!L$132</f>
        <v>1870088.2395319697</v>
      </c>
      <c r="M62" s="27">
        <f>M61/'1_MODEL_assumptions'!M$132</f>
        <v>1747746.0182541774</v>
      </c>
      <c r="N62" s="27">
        <f>N61/'1_MODEL_assumptions'!N$132</f>
        <v>1633407.4936954929</v>
      </c>
      <c r="O62" s="27">
        <f>O61/'1_MODEL_assumptions'!O$132</f>
        <v>1526549.059528498</v>
      </c>
      <c r="P62" s="27">
        <f>P61/'1_MODEL_assumptions'!P$132</f>
        <v>1688412.2296367404</v>
      </c>
      <c r="Q62" s="27">
        <f>Q61/'1_MODEL_assumptions'!Q$132</f>
        <v>1577955.3548006921</v>
      </c>
      <c r="R62" s="27">
        <f>R61/'1_MODEL_assumptions'!R$132</f>
        <v>1474724.6306548521</v>
      </c>
      <c r="S62" s="27">
        <f>S61/'1_MODEL_assumptions'!S$132</f>
        <v>1378247.3183690209</v>
      </c>
      <c r="T62" s="27">
        <f>T61/'1_MODEL_assumptions'!T$132</f>
        <v>1288081.6059523558</v>
      </c>
      <c r="U62" s="27">
        <f>U61/'1_MODEL_assumptions'!U$132</f>
        <v>1203814.5850022018</v>
      </c>
      <c r="V62" s="27">
        <f>V61/'1_MODEL_assumptions'!V$132</f>
        <v>1125060.3598151419</v>
      </c>
      <c r="W62" s="27">
        <f>W61/'1_MODEL_assumptions'!W$132</f>
        <v>1051458.2802010672</v>
      </c>
      <c r="X62" s="27">
        <f>X61/'1_MODEL_assumptions'!X$132</f>
        <v>982671.28990753926</v>
      </c>
      <c r="Y62" s="27">
        <f>Y61/'1_MODEL_assumptions'!Y$132</f>
        <v>918384.38309115835</v>
      </c>
      <c r="Z62" s="27">
        <f>Z61/'1_MODEL_assumptions'!Z$132</f>
        <v>858303.1617674377</v>
      </c>
      <c r="AA62" s="27">
        <f>AA61/'1_MODEL_assumptions'!AA$132</f>
        <v>802152.48763311934</v>
      </c>
      <c r="AB62" s="27">
        <f>AB61/'1_MODEL_assumptions'!AB$132</f>
        <v>749675.22208702739</v>
      </c>
      <c r="AC62" s="27">
        <f>AC61/'1_MODEL_assumptions'!AC$132</f>
        <v>700631.04867946485</v>
      </c>
      <c r="AD62" s="27">
        <f>AD61/'1_MODEL_assumptions'!AD$132</f>
        <v>0</v>
      </c>
      <c r="AE62" s="27">
        <f>AE61/'1_MODEL_assumptions'!AE$132</f>
        <v>0</v>
      </c>
      <c r="AF62" s="27">
        <f>AF61/'1_MODEL_assumptions'!AF$132</f>
        <v>0</v>
      </c>
      <c r="AG62" s="27">
        <f>AG61/'1_MODEL_assumptions'!AG$132</f>
        <v>0</v>
      </c>
      <c r="AH62" s="27">
        <f>AH61/'1_MODEL_assumptions'!AH$132</f>
        <v>0</v>
      </c>
    </row>
    <row r="64" spans="1:34" x14ac:dyDescent="0.3">
      <c r="G64" s="30"/>
    </row>
    <row r="65" spans="7:7" x14ac:dyDescent="0.3">
      <c r="G65" s="15"/>
    </row>
    <row r="66" spans="7:7" x14ac:dyDescent="0.3">
      <c r="G66" s="12"/>
    </row>
    <row r="67" spans="7:7" x14ac:dyDescent="0.3">
      <c r="G67" s="12"/>
    </row>
    <row r="68" spans="7:7" x14ac:dyDescent="0.3">
      <c r="G68" s="12"/>
    </row>
    <row r="69" spans="7:7" x14ac:dyDescent="0.3">
      <c r="G69" s="12"/>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44B16-49A2-49CE-A9B3-7FC4B20C6C7E}">
  <dimension ref="A1:BN344"/>
  <sheetViews>
    <sheetView workbookViewId="0">
      <pane xSplit="5" ySplit="2" topLeftCell="F77" activePane="bottomRight" state="frozen"/>
      <selection pane="topRight" activeCell="F1" sqref="F1"/>
      <selection pane="bottomLeft" activeCell="A3" sqref="A3"/>
      <selection pane="bottomRight" activeCell="F3" sqref="F3"/>
    </sheetView>
    <sheetView topLeftCell="A181" workbookViewId="1">
      <selection activeCell="I211" sqref="I211"/>
    </sheetView>
  </sheetViews>
  <sheetFormatPr defaultRowHeight="14.4" x14ac:dyDescent="0.3"/>
  <cols>
    <col min="1" max="1" width="3" customWidth="1"/>
    <col min="2" max="2" width="3.6640625" customWidth="1"/>
    <col min="4" max="4" width="43.109375" customWidth="1"/>
    <col min="7" max="34" width="12.88671875" customWidth="1"/>
  </cols>
  <sheetData>
    <row r="1" spans="1:34" s="85" customFormat="1" x14ac:dyDescent="0.3">
      <c r="A1" s="31" t="s">
        <v>364</v>
      </c>
      <c r="H1" s="85">
        <v>-1</v>
      </c>
      <c r="I1" s="85">
        <v>0</v>
      </c>
      <c r="J1" s="85">
        <f t="shared" ref="J1:AH1" si="0">I1+1</f>
        <v>1</v>
      </c>
      <c r="K1" s="85">
        <f t="shared" si="0"/>
        <v>2</v>
      </c>
      <c r="L1" s="85">
        <f t="shared" si="0"/>
        <v>3</v>
      </c>
      <c r="M1" s="85">
        <f t="shared" si="0"/>
        <v>4</v>
      </c>
      <c r="N1" s="85">
        <f t="shared" si="0"/>
        <v>5</v>
      </c>
      <c r="O1" s="85">
        <f t="shared" si="0"/>
        <v>6</v>
      </c>
      <c r="P1" s="85">
        <f t="shared" si="0"/>
        <v>7</v>
      </c>
      <c r="Q1" s="85">
        <f t="shared" si="0"/>
        <v>8</v>
      </c>
      <c r="R1" s="85">
        <f t="shared" si="0"/>
        <v>9</v>
      </c>
      <c r="S1" s="85">
        <f t="shared" si="0"/>
        <v>10</v>
      </c>
      <c r="T1" s="85">
        <f t="shared" si="0"/>
        <v>11</v>
      </c>
      <c r="U1" s="85">
        <f t="shared" si="0"/>
        <v>12</v>
      </c>
      <c r="V1" s="85">
        <f t="shared" si="0"/>
        <v>13</v>
      </c>
      <c r="W1" s="85">
        <f t="shared" si="0"/>
        <v>14</v>
      </c>
      <c r="X1" s="85">
        <f t="shared" si="0"/>
        <v>15</v>
      </c>
      <c r="Y1" s="85">
        <f t="shared" si="0"/>
        <v>16</v>
      </c>
      <c r="Z1" s="85">
        <f t="shared" si="0"/>
        <v>17</v>
      </c>
      <c r="AA1" s="85">
        <f t="shared" si="0"/>
        <v>18</v>
      </c>
      <c r="AB1" s="85">
        <f t="shared" si="0"/>
        <v>19</v>
      </c>
      <c r="AC1" s="85">
        <f t="shared" si="0"/>
        <v>20</v>
      </c>
      <c r="AD1" s="85">
        <f t="shared" si="0"/>
        <v>21</v>
      </c>
      <c r="AE1" s="85">
        <f t="shared" si="0"/>
        <v>22</v>
      </c>
      <c r="AF1" s="85">
        <f t="shared" si="0"/>
        <v>23</v>
      </c>
      <c r="AG1" s="85">
        <f t="shared" si="0"/>
        <v>24</v>
      </c>
      <c r="AH1" s="85">
        <f t="shared" si="0"/>
        <v>25</v>
      </c>
    </row>
    <row r="2" spans="1:34" s="31" customFormat="1" x14ac:dyDescent="0.3">
      <c r="E2" s="31" t="s">
        <v>3</v>
      </c>
      <c r="F2" s="31" t="s">
        <v>4</v>
      </c>
      <c r="G2" s="31" t="s">
        <v>301</v>
      </c>
      <c r="H2" s="31">
        <v>2022</v>
      </c>
      <c r="I2" s="31">
        <v>2023</v>
      </c>
      <c r="J2" s="31">
        <f t="shared" ref="J2:AH2" si="1">I2+1</f>
        <v>2024</v>
      </c>
      <c r="K2" s="31">
        <f t="shared" si="1"/>
        <v>2025</v>
      </c>
      <c r="L2" s="31">
        <f t="shared" si="1"/>
        <v>2026</v>
      </c>
      <c r="M2" s="31">
        <f t="shared" si="1"/>
        <v>2027</v>
      </c>
      <c r="N2" s="31">
        <f t="shared" si="1"/>
        <v>2028</v>
      </c>
      <c r="O2" s="31">
        <f t="shared" si="1"/>
        <v>2029</v>
      </c>
      <c r="P2" s="31">
        <f t="shared" si="1"/>
        <v>2030</v>
      </c>
      <c r="Q2" s="31">
        <f t="shared" si="1"/>
        <v>2031</v>
      </c>
      <c r="R2" s="31">
        <f t="shared" si="1"/>
        <v>2032</v>
      </c>
      <c r="S2" s="31">
        <f t="shared" si="1"/>
        <v>2033</v>
      </c>
      <c r="T2" s="31">
        <f t="shared" si="1"/>
        <v>2034</v>
      </c>
      <c r="U2" s="31">
        <f t="shared" si="1"/>
        <v>2035</v>
      </c>
      <c r="V2" s="31">
        <f t="shared" si="1"/>
        <v>2036</v>
      </c>
      <c r="W2" s="31">
        <f t="shared" si="1"/>
        <v>2037</v>
      </c>
      <c r="X2" s="31">
        <f t="shared" si="1"/>
        <v>2038</v>
      </c>
      <c r="Y2" s="31">
        <f t="shared" si="1"/>
        <v>2039</v>
      </c>
      <c r="Z2" s="31">
        <f t="shared" si="1"/>
        <v>2040</v>
      </c>
      <c r="AA2" s="31">
        <f t="shared" si="1"/>
        <v>2041</v>
      </c>
      <c r="AB2" s="31">
        <f t="shared" si="1"/>
        <v>2042</v>
      </c>
      <c r="AC2" s="31">
        <f t="shared" si="1"/>
        <v>2043</v>
      </c>
      <c r="AD2" s="31">
        <f t="shared" si="1"/>
        <v>2044</v>
      </c>
      <c r="AE2" s="31">
        <f t="shared" si="1"/>
        <v>2045</v>
      </c>
      <c r="AF2" s="31">
        <f t="shared" si="1"/>
        <v>2046</v>
      </c>
      <c r="AG2" s="31">
        <f t="shared" si="1"/>
        <v>2047</v>
      </c>
      <c r="AH2" s="31">
        <f t="shared" si="1"/>
        <v>2048</v>
      </c>
    </row>
    <row r="4" spans="1:34" s="30" customFormat="1" x14ac:dyDescent="0.3">
      <c r="A4" s="31"/>
      <c r="B4" s="31"/>
      <c r="C4" s="31"/>
      <c r="D4" s="31" t="s">
        <v>290</v>
      </c>
      <c r="G4" s="41"/>
    </row>
    <row r="5" spans="1:34" s="30" customFormat="1" x14ac:dyDescent="0.3">
      <c r="A5" s="31"/>
      <c r="B5" s="31"/>
      <c r="C5" s="31"/>
      <c r="D5" s="30" t="str">
        <f>'1_MODEL_assumptions'!D95</f>
        <v>Top Pick</v>
      </c>
      <c r="G5" s="41"/>
      <c r="I5" s="30">
        <f>'1_MODEL_assumptions'!I57</f>
        <v>20</v>
      </c>
      <c r="J5" s="30">
        <f>'1_MODEL_assumptions'!J57</f>
        <v>15</v>
      </c>
      <c r="K5" s="30">
        <f>'1_MODEL_assumptions'!K57</f>
        <v>7</v>
      </c>
      <c r="L5" s="30">
        <f>'1_MODEL_assumptions'!L57</f>
        <v>7</v>
      </c>
      <c r="M5" s="30">
        <f>'1_MODEL_assumptions'!M57</f>
        <v>7</v>
      </c>
      <c r="N5" s="30">
        <f>'1_MODEL_assumptions'!N57</f>
        <v>7</v>
      </c>
      <c r="O5" s="30">
        <f>'1_MODEL_assumptions'!O57</f>
        <v>7</v>
      </c>
      <c r="P5" s="30">
        <f>'1_MODEL_assumptions'!P57</f>
        <v>7</v>
      </c>
      <c r="Q5" s="30">
        <f>'1_MODEL_assumptions'!Q57</f>
        <v>7</v>
      </c>
      <c r="R5" s="30">
        <f>'1_MODEL_assumptions'!R57</f>
        <v>7</v>
      </c>
      <c r="S5" s="30">
        <f>'1_MODEL_assumptions'!S57</f>
        <v>7</v>
      </c>
      <c r="T5" s="30">
        <f>'1_MODEL_assumptions'!T57</f>
        <v>7</v>
      </c>
      <c r="U5" s="30">
        <f>'1_MODEL_assumptions'!U57</f>
        <v>7</v>
      </c>
      <c r="V5" s="30">
        <f>'1_MODEL_assumptions'!V57</f>
        <v>7</v>
      </c>
      <c r="W5" s="30">
        <f>'1_MODEL_assumptions'!W57</f>
        <v>7</v>
      </c>
      <c r="X5" s="30">
        <f>'1_MODEL_assumptions'!X57</f>
        <v>7</v>
      </c>
      <c r="Y5" s="30">
        <f>'1_MODEL_assumptions'!Y57</f>
        <v>7</v>
      </c>
      <c r="Z5" s="30">
        <f>'1_MODEL_assumptions'!Z57</f>
        <v>7</v>
      </c>
      <c r="AA5" s="30">
        <f>'1_MODEL_assumptions'!AA57</f>
        <v>7</v>
      </c>
      <c r="AB5" s="30">
        <f>'1_MODEL_assumptions'!AB57</f>
        <v>7</v>
      </c>
      <c r="AC5" s="30">
        <f>'1_MODEL_assumptions'!AC57</f>
        <v>7</v>
      </c>
    </row>
    <row r="6" spans="1:34" s="30" customFormat="1" x14ac:dyDescent="0.3">
      <c r="A6" s="31"/>
      <c r="B6" s="31"/>
      <c r="C6" s="31"/>
      <c r="D6" s="30" t="str">
        <f>'1_MODEL_assumptions'!D96</f>
        <v>RTGs, Hybrid</v>
      </c>
      <c r="G6" s="41"/>
      <c r="I6" s="30">
        <f>'1_MODEL_assumptions'!I58</f>
        <v>1</v>
      </c>
      <c r="J6" s="30">
        <f>'1_MODEL_assumptions'!J58</f>
        <v>3</v>
      </c>
      <c r="K6" s="30">
        <f>'1_MODEL_assumptions'!K58</f>
        <v>6</v>
      </c>
      <c r="L6" s="30">
        <f>'1_MODEL_assumptions'!L58</f>
        <v>6</v>
      </c>
      <c r="M6" s="30">
        <f>'1_MODEL_assumptions'!M58</f>
        <v>6</v>
      </c>
      <c r="N6" s="30">
        <f>'1_MODEL_assumptions'!N58</f>
        <v>6</v>
      </c>
      <c r="O6" s="30">
        <f>'1_MODEL_assumptions'!O58</f>
        <v>6</v>
      </c>
      <c r="P6" s="30">
        <f>'1_MODEL_assumptions'!P58</f>
        <v>6</v>
      </c>
      <c r="Q6" s="30">
        <f>'1_MODEL_assumptions'!Q58</f>
        <v>6</v>
      </c>
      <c r="R6" s="30">
        <f>'1_MODEL_assumptions'!R58</f>
        <v>6</v>
      </c>
      <c r="S6" s="30">
        <f>'1_MODEL_assumptions'!S58</f>
        <v>6</v>
      </c>
      <c r="T6" s="30">
        <f>'1_MODEL_assumptions'!T58</f>
        <v>6</v>
      </c>
      <c r="U6" s="30">
        <f>'1_MODEL_assumptions'!U58</f>
        <v>6</v>
      </c>
      <c r="V6" s="30">
        <f>'1_MODEL_assumptions'!V58</f>
        <v>6</v>
      </c>
      <c r="W6" s="30">
        <f>'1_MODEL_assumptions'!W58</f>
        <v>6</v>
      </c>
      <c r="X6" s="30">
        <f>'1_MODEL_assumptions'!X58</f>
        <v>6</v>
      </c>
      <c r="Y6" s="30">
        <f>'1_MODEL_assumptions'!Y58</f>
        <v>6</v>
      </c>
      <c r="Z6" s="30">
        <f>'1_MODEL_assumptions'!Z58</f>
        <v>6</v>
      </c>
      <c r="AA6" s="30">
        <f>'1_MODEL_assumptions'!AA58</f>
        <v>6</v>
      </c>
      <c r="AB6" s="30">
        <f>'1_MODEL_assumptions'!AB58</f>
        <v>6</v>
      </c>
      <c r="AC6" s="30">
        <f>'1_MODEL_assumptions'!AC58</f>
        <v>6</v>
      </c>
    </row>
    <row r="7" spans="1:34" s="30" customFormat="1" x14ac:dyDescent="0.3">
      <c r="A7" s="31"/>
      <c r="B7" s="31"/>
      <c r="C7" s="31"/>
      <c r="D7" s="30" t="str">
        <f>'1_MODEL_assumptions'!D97</f>
        <v>Forklift, 10000 lb, Diesel</v>
      </c>
      <c r="G7" s="41"/>
      <c r="I7" s="30">
        <v>9</v>
      </c>
      <c r="J7" s="30">
        <v>4</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row>
    <row r="8" spans="1:34" s="30" customFormat="1" x14ac:dyDescent="0.3">
      <c r="A8" s="31"/>
      <c r="B8" s="31"/>
      <c r="C8" s="31"/>
      <c r="D8" s="30" t="str">
        <f>'1_MODEL_assumptions'!D98</f>
        <v>Forklift, 10000 lb, electric</v>
      </c>
      <c r="G8" s="41"/>
      <c r="I8" s="30">
        <v>1</v>
      </c>
      <c r="J8" s="30">
        <v>6</v>
      </c>
      <c r="K8" s="30">
        <v>10</v>
      </c>
      <c r="L8" s="30">
        <v>10</v>
      </c>
      <c r="M8" s="30">
        <v>10</v>
      </c>
      <c r="N8" s="30">
        <v>10</v>
      </c>
      <c r="O8" s="30">
        <v>10</v>
      </c>
      <c r="P8" s="30">
        <v>10</v>
      </c>
      <c r="Q8" s="30">
        <v>10</v>
      </c>
      <c r="R8" s="30">
        <v>10</v>
      </c>
      <c r="S8" s="30">
        <v>10</v>
      </c>
      <c r="T8" s="30">
        <v>10</v>
      </c>
      <c r="U8" s="30">
        <v>10</v>
      </c>
      <c r="V8" s="30">
        <v>10</v>
      </c>
      <c r="W8" s="30">
        <v>10</v>
      </c>
      <c r="X8" s="30">
        <v>10</v>
      </c>
      <c r="Y8" s="30">
        <v>10</v>
      </c>
      <c r="Z8" s="30">
        <v>10</v>
      </c>
      <c r="AA8" s="30">
        <v>10</v>
      </c>
      <c r="AB8" s="30">
        <v>10</v>
      </c>
      <c r="AC8" s="30">
        <v>10</v>
      </c>
    </row>
    <row r="9" spans="1:34" s="30" customFormat="1" x14ac:dyDescent="0.3">
      <c r="A9" s="31"/>
      <c r="B9" s="31"/>
      <c r="C9" s="31"/>
      <c r="D9" s="30" t="str">
        <f>'1_MODEL_assumptions'!D99</f>
        <v>Forklift, 18000 lb, Diesel</v>
      </c>
      <c r="G9" s="41"/>
      <c r="I9" s="30">
        <v>10</v>
      </c>
      <c r="J9" s="30">
        <v>5</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row>
    <row r="10" spans="1:34" s="30" customFormat="1" x14ac:dyDescent="0.3">
      <c r="A10" s="31"/>
      <c r="B10" s="31"/>
      <c r="C10" s="31"/>
      <c r="D10" s="30" t="str">
        <f>'1_MODEL_assumptions'!D100</f>
        <v>Forklift, 18000 lb, electric</v>
      </c>
      <c r="G10" s="41"/>
      <c r="I10" s="30">
        <v>0</v>
      </c>
      <c r="J10" s="30">
        <v>5</v>
      </c>
      <c r="K10" s="30">
        <v>10</v>
      </c>
      <c r="L10" s="30">
        <v>10</v>
      </c>
      <c r="M10" s="30">
        <v>10</v>
      </c>
      <c r="N10" s="30">
        <v>10</v>
      </c>
      <c r="O10" s="30">
        <v>10</v>
      </c>
      <c r="P10" s="30">
        <v>10</v>
      </c>
      <c r="Q10" s="30">
        <v>10</v>
      </c>
      <c r="R10" s="30">
        <v>10</v>
      </c>
      <c r="S10" s="30">
        <v>10</v>
      </c>
      <c r="T10" s="30">
        <v>10</v>
      </c>
      <c r="U10" s="30">
        <v>10</v>
      </c>
      <c r="V10" s="30">
        <v>10</v>
      </c>
      <c r="W10" s="30">
        <v>10</v>
      </c>
      <c r="X10" s="30">
        <v>10</v>
      </c>
      <c r="Y10" s="30">
        <v>10</v>
      </c>
      <c r="Z10" s="30">
        <v>10</v>
      </c>
      <c r="AA10" s="30">
        <v>10</v>
      </c>
      <c r="AB10" s="30">
        <v>10</v>
      </c>
      <c r="AC10" s="30">
        <v>10</v>
      </c>
    </row>
    <row r="11" spans="1:34" s="30" customFormat="1" x14ac:dyDescent="0.3">
      <c r="A11" s="31"/>
      <c r="B11" s="31"/>
      <c r="C11" s="31"/>
      <c r="D11" s="30" t="str">
        <f>'1_MODEL_assumptions'!D101</f>
        <v>Forklift, 36000 lb, diesel</v>
      </c>
      <c r="G11" s="41"/>
      <c r="I11" s="30">
        <v>9</v>
      </c>
      <c r="J11" s="30">
        <v>4</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row>
    <row r="12" spans="1:34" s="30" customFormat="1" x14ac:dyDescent="0.3">
      <c r="A12" s="31"/>
      <c r="B12" s="31"/>
      <c r="C12" s="31"/>
      <c r="D12" s="30" t="str">
        <f>'1_MODEL_assumptions'!D102</f>
        <v>Forklift, 36000 lb, electric</v>
      </c>
      <c r="G12" s="41"/>
      <c r="I12" s="30">
        <v>1</v>
      </c>
      <c r="J12" s="30">
        <v>6</v>
      </c>
      <c r="K12" s="30">
        <v>10</v>
      </c>
      <c r="L12" s="30">
        <v>10</v>
      </c>
      <c r="M12" s="30">
        <v>10</v>
      </c>
      <c r="N12" s="30">
        <v>10</v>
      </c>
      <c r="O12" s="30">
        <v>10</v>
      </c>
      <c r="P12" s="30">
        <v>10</v>
      </c>
      <c r="Q12" s="30">
        <v>10</v>
      </c>
      <c r="R12" s="30">
        <v>10</v>
      </c>
      <c r="S12" s="30">
        <v>10</v>
      </c>
      <c r="T12" s="30">
        <v>10</v>
      </c>
      <c r="U12" s="30">
        <v>10</v>
      </c>
      <c r="V12" s="30">
        <v>10</v>
      </c>
      <c r="W12" s="30">
        <v>10</v>
      </c>
      <c r="X12" s="30">
        <v>10</v>
      </c>
      <c r="Y12" s="30">
        <v>10</v>
      </c>
      <c r="Z12" s="30">
        <v>10</v>
      </c>
      <c r="AA12" s="30">
        <v>10</v>
      </c>
      <c r="AB12" s="30">
        <v>10</v>
      </c>
      <c r="AC12" s="30">
        <v>10</v>
      </c>
    </row>
    <row r="13" spans="1:34" s="30" customFormat="1" x14ac:dyDescent="0.3">
      <c r="A13" s="31"/>
      <c r="B13" s="31"/>
      <c r="C13" s="31"/>
      <c r="D13" s="30" t="str">
        <f>'1_MODEL_assumptions'!D103</f>
        <v>Yard Tractor, Diesel</v>
      </c>
      <c r="G13" s="41"/>
      <c r="I13" s="30">
        <v>9</v>
      </c>
      <c r="J13" s="30">
        <v>4</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row>
    <row r="14" spans="1:34" s="30" customFormat="1" x14ac:dyDescent="0.3">
      <c r="A14" s="31"/>
      <c r="B14" s="31"/>
      <c r="C14" s="31"/>
      <c r="D14" s="30" t="str">
        <f>'1_MODEL_assumptions'!D104</f>
        <v>Yard Tractor, electric</v>
      </c>
      <c r="G14" s="41"/>
      <c r="I14" s="30">
        <v>1</v>
      </c>
      <c r="J14" s="30">
        <v>6</v>
      </c>
      <c r="K14" s="30">
        <v>10</v>
      </c>
      <c r="L14" s="30">
        <v>10</v>
      </c>
      <c r="M14" s="30">
        <v>10</v>
      </c>
      <c r="N14" s="30">
        <v>10</v>
      </c>
      <c r="O14" s="30">
        <v>10</v>
      </c>
      <c r="P14" s="30">
        <v>10</v>
      </c>
      <c r="Q14" s="30">
        <v>10</v>
      </c>
      <c r="R14" s="30">
        <v>10</v>
      </c>
      <c r="S14" s="30">
        <v>10</v>
      </c>
      <c r="T14" s="30">
        <v>10</v>
      </c>
      <c r="U14" s="30">
        <v>10</v>
      </c>
      <c r="V14" s="30">
        <v>10</v>
      </c>
      <c r="W14" s="30">
        <v>10</v>
      </c>
      <c r="X14" s="30">
        <v>10</v>
      </c>
      <c r="Y14" s="30">
        <v>10</v>
      </c>
      <c r="Z14" s="30">
        <v>10</v>
      </c>
      <c r="AA14" s="30">
        <v>10</v>
      </c>
      <c r="AB14" s="30">
        <v>10</v>
      </c>
      <c r="AC14" s="30">
        <v>10</v>
      </c>
    </row>
    <row r="15" spans="1:34" s="30" customFormat="1" x14ac:dyDescent="0.3">
      <c r="A15" s="31"/>
      <c r="B15" s="31"/>
      <c r="C15" s="31"/>
      <c r="D15" s="30" t="str">
        <f>'1_MODEL_assumptions'!D105</f>
        <v>Reefer Power Packs, 30 plugs, dual engine, Tier 3, 400 HP CAT</v>
      </c>
      <c r="F15" s="30" t="s">
        <v>292</v>
      </c>
      <c r="G15" s="41"/>
      <c r="I15" s="30">
        <v>1</v>
      </c>
      <c r="J15" s="30">
        <v>1</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row>
    <row r="16" spans="1:34" s="30" customFormat="1" x14ac:dyDescent="0.3">
      <c r="A16" s="31"/>
      <c r="B16" s="31"/>
      <c r="C16" s="31"/>
      <c r="D16" s="30" t="str">
        <f>'1_MODEL_assumptions'!D106</f>
        <v>Reefer Power Packs, 30 plugs, single engine, Tier 3 400 HP CAT</v>
      </c>
      <c r="F16" s="30" t="s">
        <v>292</v>
      </c>
      <c r="G16" s="41"/>
      <c r="I16" s="30">
        <v>1</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row>
    <row r="17" spans="1:29" s="30" customFormat="1" x14ac:dyDescent="0.3">
      <c r="A17" s="31"/>
      <c r="B17" s="31"/>
      <c r="C17" s="31"/>
      <c r="D17" s="30" t="str">
        <f>'1_MODEL_assumptions'!D107</f>
        <v>Nose Mount genset 1 plug, single engine, Tier 3, 32-34HP, Kubota / Carrier or Yanmar</v>
      </c>
      <c r="G17" s="41"/>
      <c r="I17" s="30">
        <v>40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row>
    <row r="18" spans="1:29" s="30" customFormat="1" x14ac:dyDescent="0.3">
      <c r="A18" s="31"/>
      <c r="B18" s="31"/>
      <c r="C18" s="31"/>
      <c r="D18" s="30" t="str">
        <f>'1_MODEL_assumptions'!D108</f>
        <v>Reefer Plugs, Electric</v>
      </c>
      <c r="G18" s="41"/>
      <c r="I18" s="30">
        <f>60</f>
        <v>60</v>
      </c>
      <c r="J18" s="30">
        <v>130</v>
      </c>
      <c r="K18" s="30">
        <v>160</v>
      </c>
      <c r="L18" s="30">
        <v>160</v>
      </c>
      <c r="M18" s="30">
        <v>160</v>
      </c>
      <c r="N18" s="30">
        <v>160</v>
      </c>
      <c r="O18" s="30">
        <v>160</v>
      </c>
      <c r="P18" s="30">
        <v>160</v>
      </c>
      <c r="Q18" s="30">
        <v>160</v>
      </c>
      <c r="R18" s="30">
        <v>160</v>
      </c>
      <c r="S18" s="30">
        <v>160</v>
      </c>
      <c r="T18" s="30">
        <v>160</v>
      </c>
      <c r="U18" s="30">
        <v>160</v>
      </c>
      <c r="V18" s="30">
        <v>160</v>
      </c>
      <c r="W18" s="30">
        <v>160</v>
      </c>
      <c r="X18" s="30">
        <v>160</v>
      </c>
      <c r="Y18" s="30">
        <v>160</v>
      </c>
      <c r="Z18" s="30">
        <v>160</v>
      </c>
      <c r="AA18" s="30">
        <v>160</v>
      </c>
      <c r="AB18" s="30">
        <v>160</v>
      </c>
      <c r="AC18" s="30">
        <v>160</v>
      </c>
    </row>
    <row r="19" spans="1:29" s="30" customFormat="1" x14ac:dyDescent="0.3">
      <c r="A19" s="31"/>
      <c r="B19" s="31"/>
      <c r="C19" s="31"/>
      <c r="G19" s="41"/>
    </row>
    <row r="20" spans="1:29" s="30" customFormat="1" x14ac:dyDescent="0.3">
      <c r="A20" s="31"/>
      <c r="B20" s="31"/>
      <c r="C20" s="31"/>
      <c r="D20" s="31" t="s">
        <v>291</v>
      </c>
      <c r="G20" s="41"/>
    </row>
    <row r="21" spans="1:29" s="30" customFormat="1" x14ac:dyDescent="0.3">
      <c r="A21" s="31"/>
      <c r="B21" s="31"/>
      <c r="C21" s="31"/>
      <c r="D21" s="30" t="str">
        <f t="shared" ref="D21:D34" si="2">D5</f>
        <v>Top Pick</v>
      </c>
      <c r="G21" s="41"/>
      <c r="I21" s="30">
        <f>'1_MODEL_assumptions'!I66</f>
        <v>22</v>
      </c>
      <c r="J21" s="30">
        <f>'1_MODEL_assumptions'!J66</f>
        <v>22</v>
      </c>
      <c r="K21" s="30">
        <f>'1_MODEL_assumptions'!K66</f>
        <v>22</v>
      </c>
      <c r="L21" s="30">
        <f>'1_MODEL_assumptions'!L66</f>
        <v>22</v>
      </c>
      <c r="M21" s="30">
        <f>'1_MODEL_assumptions'!M66</f>
        <v>22</v>
      </c>
      <c r="N21" s="30">
        <f>'1_MODEL_assumptions'!N66</f>
        <v>22</v>
      </c>
      <c r="O21" s="30">
        <f>'1_MODEL_assumptions'!O66</f>
        <v>22</v>
      </c>
      <c r="P21" s="30">
        <f>'1_MODEL_assumptions'!P66</f>
        <v>24</v>
      </c>
      <c r="Q21" s="30">
        <f>'1_MODEL_assumptions'!Q66</f>
        <v>24</v>
      </c>
      <c r="R21" s="30">
        <f>'1_MODEL_assumptions'!R66</f>
        <v>24</v>
      </c>
      <c r="S21" s="30">
        <f>'1_MODEL_assumptions'!S66</f>
        <v>24</v>
      </c>
      <c r="T21" s="30">
        <f>'1_MODEL_assumptions'!T66</f>
        <v>24</v>
      </c>
      <c r="U21" s="30">
        <f>'1_MODEL_assumptions'!U66</f>
        <v>24</v>
      </c>
      <c r="V21" s="30">
        <f>'1_MODEL_assumptions'!V66</f>
        <v>24</v>
      </c>
      <c r="W21" s="30">
        <f>'1_MODEL_assumptions'!W66</f>
        <v>24</v>
      </c>
      <c r="X21" s="30">
        <f>'1_MODEL_assumptions'!X66</f>
        <v>24</v>
      </c>
      <c r="Y21" s="30">
        <f>'1_MODEL_assumptions'!Y66</f>
        <v>24</v>
      </c>
      <c r="Z21" s="30">
        <f>'1_MODEL_assumptions'!Z66</f>
        <v>24</v>
      </c>
      <c r="AA21" s="30">
        <f>'1_MODEL_assumptions'!AA66</f>
        <v>24</v>
      </c>
      <c r="AB21" s="30">
        <f>'1_MODEL_assumptions'!AB66</f>
        <v>24</v>
      </c>
      <c r="AC21" s="30">
        <f>'1_MODEL_assumptions'!AC66</f>
        <v>24</v>
      </c>
    </row>
    <row r="22" spans="1:29" s="30" customFormat="1" x14ac:dyDescent="0.3">
      <c r="A22" s="31"/>
      <c r="B22" s="31"/>
      <c r="C22" s="31"/>
      <c r="D22" s="30" t="str">
        <f t="shared" si="2"/>
        <v>RTGs, Hybrid</v>
      </c>
      <c r="G22" s="41"/>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row>
    <row r="23" spans="1:29" s="30" customFormat="1" x14ac:dyDescent="0.3">
      <c r="A23" s="31"/>
      <c r="B23" s="31"/>
      <c r="C23" s="31"/>
      <c r="D23" s="30" t="str">
        <f t="shared" si="2"/>
        <v>Forklift, 10000 lb, Diesel</v>
      </c>
      <c r="G23" s="41"/>
      <c r="I23" s="30">
        <v>10</v>
      </c>
      <c r="J23" s="30">
        <v>10</v>
      </c>
      <c r="K23" s="30">
        <v>10</v>
      </c>
      <c r="L23" s="30">
        <v>10</v>
      </c>
      <c r="M23" s="30">
        <v>10</v>
      </c>
      <c r="N23" s="30">
        <v>10</v>
      </c>
      <c r="O23" s="30">
        <v>10</v>
      </c>
      <c r="P23" s="30">
        <v>10</v>
      </c>
      <c r="Q23" s="30">
        <v>10</v>
      </c>
      <c r="R23" s="30">
        <v>10</v>
      </c>
      <c r="S23" s="30">
        <v>10</v>
      </c>
      <c r="T23" s="30">
        <v>10</v>
      </c>
      <c r="U23" s="30">
        <v>10</v>
      </c>
      <c r="V23" s="30">
        <v>10</v>
      </c>
      <c r="W23" s="30">
        <v>10</v>
      </c>
      <c r="X23" s="30">
        <v>10</v>
      </c>
      <c r="Y23" s="30">
        <v>10</v>
      </c>
      <c r="Z23" s="30">
        <v>10</v>
      </c>
      <c r="AA23" s="30">
        <v>10</v>
      </c>
      <c r="AB23" s="30">
        <v>10</v>
      </c>
      <c r="AC23" s="30">
        <v>10</v>
      </c>
    </row>
    <row r="24" spans="1:29" s="30" customFormat="1" x14ac:dyDescent="0.3">
      <c r="A24" s="31"/>
      <c r="B24" s="31"/>
      <c r="C24" s="31"/>
      <c r="D24" s="30" t="str">
        <f t="shared" si="2"/>
        <v>Forklift, 10000 lb, electric</v>
      </c>
      <c r="G24" s="41"/>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row>
    <row r="25" spans="1:29" s="30" customFormat="1" x14ac:dyDescent="0.3">
      <c r="A25" s="31"/>
      <c r="B25" s="31"/>
      <c r="C25" s="31"/>
      <c r="D25" s="30" t="str">
        <f t="shared" si="2"/>
        <v>Forklift, 18000 lb, Diesel</v>
      </c>
      <c r="G25" s="41"/>
      <c r="I25" s="30">
        <v>10</v>
      </c>
      <c r="J25" s="30">
        <v>10</v>
      </c>
      <c r="K25" s="30">
        <v>10</v>
      </c>
      <c r="L25" s="30">
        <v>10</v>
      </c>
      <c r="M25" s="30">
        <v>10</v>
      </c>
      <c r="N25" s="30">
        <v>10</v>
      </c>
      <c r="O25" s="30">
        <v>10</v>
      </c>
      <c r="P25" s="30">
        <v>10</v>
      </c>
      <c r="Q25" s="30">
        <v>10</v>
      </c>
      <c r="R25" s="30">
        <v>10</v>
      </c>
      <c r="S25" s="30">
        <v>10</v>
      </c>
      <c r="T25" s="30">
        <v>10</v>
      </c>
      <c r="U25" s="30">
        <v>10</v>
      </c>
      <c r="V25" s="30">
        <v>10</v>
      </c>
      <c r="W25" s="30">
        <v>10</v>
      </c>
      <c r="X25" s="30">
        <v>10</v>
      </c>
      <c r="Y25" s="30">
        <v>10</v>
      </c>
      <c r="Z25" s="30">
        <v>10</v>
      </c>
      <c r="AA25" s="30">
        <v>10</v>
      </c>
      <c r="AB25" s="30">
        <v>10</v>
      </c>
      <c r="AC25" s="30">
        <v>10</v>
      </c>
    </row>
    <row r="26" spans="1:29" s="30" customFormat="1" x14ac:dyDescent="0.3">
      <c r="A26" s="31"/>
      <c r="B26" s="31"/>
      <c r="C26" s="31"/>
      <c r="D26" s="30" t="str">
        <f t="shared" si="2"/>
        <v>Forklift, 18000 lb, electric</v>
      </c>
      <c r="G26" s="41"/>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row>
    <row r="27" spans="1:29" s="30" customFormat="1" x14ac:dyDescent="0.3">
      <c r="A27" s="31"/>
      <c r="B27" s="31"/>
      <c r="C27" s="31"/>
      <c r="D27" s="30" t="str">
        <f t="shared" si="2"/>
        <v>Forklift, 36000 lb, diesel</v>
      </c>
      <c r="G27" s="41"/>
      <c r="I27" s="30">
        <v>10</v>
      </c>
      <c r="J27" s="30">
        <v>10</v>
      </c>
      <c r="K27" s="30">
        <v>10</v>
      </c>
      <c r="L27" s="30">
        <v>10</v>
      </c>
      <c r="M27" s="30">
        <v>10</v>
      </c>
      <c r="N27" s="30">
        <v>10</v>
      </c>
      <c r="O27" s="30">
        <v>10</v>
      </c>
      <c r="P27" s="30">
        <v>10</v>
      </c>
      <c r="Q27" s="30">
        <v>10</v>
      </c>
      <c r="R27" s="30">
        <v>10</v>
      </c>
      <c r="S27" s="30">
        <v>10</v>
      </c>
      <c r="T27" s="30">
        <v>10</v>
      </c>
      <c r="U27" s="30">
        <v>10</v>
      </c>
      <c r="V27" s="30">
        <v>10</v>
      </c>
      <c r="W27" s="30">
        <v>10</v>
      </c>
      <c r="X27" s="30">
        <v>10</v>
      </c>
      <c r="Y27" s="30">
        <v>10</v>
      </c>
      <c r="Z27" s="30">
        <v>10</v>
      </c>
      <c r="AA27" s="30">
        <v>10</v>
      </c>
      <c r="AB27" s="30">
        <v>10</v>
      </c>
      <c r="AC27" s="30">
        <v>10</v>
      </c>
    </row>
    <row r="28" spans="1:29" s="30" customFormat="1" x14ac:dyDescent="0.3">
      <c r="A28" s="31"/>
      <c r="B28" s="31"/>
      <c r="C28" s="31"/>
      <c r="D28" s="30" t="str">
        <f t="shared" si="2"/>
        <v>Forklift, 36000 lb, electric</v>
      </c>
      <c r="G28" s="41"/>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row>
    <row r="29" spans="1:29" s="30" customFormat="1" x14ac:dyDescent="0.3">
      <c r="A29" s="31"/>
      <c r="B29" s="31"/>
      <c r="C29" s="31"/>
      <c r="D29" s="30" t="str">
        <f t="shared" si="2"/>
        <v>Yard Tractor, Diesel</v>
      </c>
      <c r="G29" s="41"/>
      <c r="I29" s="30">
        <v>10</v>
      </c>
      <c r="J29" s="30">
        <v>10</v>
      </c>
      <c r="K29" s="30">
        <v>10</v>
      </c>
      <c r="L29" s="30">
        <v>10</v>
      </c>
      <c r="M29" s="30">
        <v>10</v>
      </c>
      <c r="N29" s="30">
        <v>10</v>
      </c>
      <c r="O29" s="30">
        <v>10</v>
      </c>
      <c r="P29" s="30">
        <v>10</v>
      </c>
      <c r="Q29" s="30">
        <v>10</v>
      </c>
      <c r="R29" s="30">
        <v>10</v>
      </c>
      <c r="S29" s="30">
        <v>10</v>
      </c>
      <c r="T29" s="30">
        <v>10</v>
      </c>
      <c r="U29" s="30">
        <v>10</v>
      </c>
      <c r="V29" s="30">
        <v>10</v>
      </c>
      <c r="W29" s="30">
        <v>10</v>
      </c>
      <c r="X29" s="30">
        <v>10</v>
      </c>
      <c r="Y29" s="30">
        <v>10</v>
      </c>
      <c r="Z29" s="30">
        <v>10</v>
      </c>
      <c r="AA29" s="30">
        <v>10</v>
      </c>
      <c r="AB29" s="30">
        <v>10</v>
      </c>
      <c r="AC29" s="30">
        <v>10</v>
      </c>
    </row>
    <row r="30" spans="1:29" s="30" customFormat="1" x14ac:dyDescent="0.3">
      <c r="A30" s="31"/>
      <c r="B30" s="31"/>
      <c r="C30" s="31"/>
      <c r="D30" s="30" t="str">
        <f t="shared" si="2"/>
        <v>Yard Tractor, electric</v>
      </c>
      <c r="G30" s="41"/>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row>
    <row r="31" spans="1:29" s="30" customFormat="1" x14ac:dyDescent="0.3">
      <c r="A31" s="31"/>
      <c r="B31" s="31"/>
      <c r="C31" s="31"/>
      <c r="D31" s="30" t="str">
        <f t="shared" si="2"/>
        <v>Reefer Power Packs, 30 plugs, dual engine, Tier 3, 400 HP CAT</v>
      </c>
      <c r="F31" s="30" t="s">
        <v>292</v>
      </c>
      <c r="G31" s="41"/>
      <c r="I31" s="30">
        <v>1</v>
      </c>
      <c r="J31" s="30">
        <v>1</v>
      </c>
      <c r="K31" s="30">
        <v>1</v>
      </c>
      <c r="L31" s="30">
        <v>1</v>
      </c>
      <c r="M31" s="30">
        <v>1</v>
      </c>
      <c r="N31" s="30">
        <v>1</v>
      </c>
      <c r="O31" s="30">
        <v>1</v>
      </c>
      <c r="P31" s="30">
        <v>1</v>
      </c>
      <c r="Q31" s="30">
        <v>1</v>
      </c>
      <c r="R31" s="30">
        <v>1</v>
      </c>
      <c r="S31" s="30">
        <v>1</v>
      </c>
      <c r="T31" s="30">
        <v>1</v>
      </c>
      <c r="U31" s="30">
        <v>1</v>
      </c>
      <c r="V31" s="30">
        <v>1</v>
      </c>
      <c r="W31" s="30">
        <v>1</v>
      </c>
      <c r="X31" s="30">
        <v>1</v>
      </c>
      <c r="Y31" s="30">
        <v>1</v>
      </c>
      <c r="Z31" s="30">
        <v>1</v>
      </c>
      <c r="AA31" s="30">
        <v>1</v>
      </c>
      <c r="AB31" s="30">
        <v>1</v>
      </c>
      <c r="AC31" s="30">
        <v>1</v>
      </c>
    </row>
    <row r="32" spans="1:29" s="30" customFormat="1" x14ac:dyDescent="0.3">
      <c r="A32" s="31"/>
      <c r="B32" s="31"/>
      <c r="C32" s="31"/>
      <c r="D32" s="30" t="str">
        <f t="shared" si="2"/>
        <v>Reefer Power Packs, 30 plugs, single engine, Tier 3 400 HP CAT</v>
      </c>
      <c r="F32" s="30" t="s">
        <v>292</v>
      </c>
      <c r="G32" s="41"/>
      <c r="I32" s="30">
        <v>1</v>
      </c>
      <c r="J32" s="30">
        <v>1</v>
      </c>
      <c r="K32" s="30">
        <v>1</v>
      </c>
      <c r="L32" s="30">
        <v>1</v>
      </c>
      <c r="M32" s="30">
        <v>1</v>
      </c>
      <c r="N32" s="30">
        <v>1</v>
      </c>
      <c r="O32" s="30">
        <v>1</v>
      </c>
      <c r="P32" s="30">
        <v>1</v>
      </c>
      <c r="Q32" s="30">
        <v>1</v>
      </c>
      <c r="R32" s="30">
        <v>1</v>
      </c>
      <c r="S32" s="30">
        <v>1</v>
      </c>
      <c r="T32" s="30">
        <v>1</v>
      </c>
      <c r="U32" s="30">
        <v>1</v>
      </c>
      <c r="V32" s="30">
        <v>1</v>
      </c>
      <c r="W32" s="30">
        <v>1</v>
      </c>
      <c r="X32" s="30">
        <v>1</v>
      </c>
      <c r="Y32" s="30">
        <v>1</v>
      </c>
      <c r="Z32" s="30">
        <v>1</v>
      </c>
      <c r="AA32" s="30">
        <v>1</v>
      </c>
      <c r="AB32" s="30">
        <v>1</v>
      </c>
      <c r="AC32" s="30">
        <v>1</v>
      </c>
    </row>
    <row r="33" spans="1:29" s="30" customFormat="1" x14ac:dyDescent="0.3">
      <c r="A33" s="31"/>
      <c r="B33" s="31"/>
      <c r="C33" s="31"/>
      <c r="D33" s="30" t="str">
        <f t="shared" si="2"/>
        <v>Nose Mount genset 1 plug, single engine, Tier 3, 32-34HP, Kubota / Carrier or Yanmar</v>
      </c>
      <c r="G33" s="41"/>
      <c r="I33" s="30">
        <v>100</v>
      </c>
      <c r="J33" s="30">
        <v>100</v>
      </c>
      <c r="K33" s="30">
        <v>100</v>
      </c>
      <c r="L33" s="30">
        <v>100</v>
      </c>
      <c r="M33" s="30">
        <v>100</v>
      </c>
      <c r="N33" s="30">
        <v>100</v>
      </c>
      <c r="O33" s="30">
        <v>100</v>
      </c>
      <c r="P33" s="30">
        <v>100</v>
      </c>
      <c r="Q33" s="30">
        <v>100</v>
      </c>
      <c r="R33" s="30">
        <v>100</v>
      </c>
      <c r="S33" s="30">
        <v>100</v>
      </c>
      <c r="T33" s="30">
        <v>100</v>
      </c>
      <c r="U33" s="30">
        <v>100</v>
      </c>
      <c r="V33" s="30">
        <v>100</v>
      </c>
      <c r="W33" s="30">
        <v>100</v>
      </c>
      <c r="X33" s="30">
        <v>100</v>
      </c>
      <c r="Y33" s="30">
        <v>100</v>
      </c>
      <c r="Z33" s="30">
        <v>100</v>
      </c>
      <c r="AA33" s="30">
        <v>100</v>
      </c>
      <c r="AB33" s="30">
        <v>100</v>
      </c>
      <c r="AC33" s="30">
        <v>100</v>
      </c>
    </row>
    <row r="34" spans="1:29" s="30" customFormat="1" x14ac:dyDescent="0.3">
      <c r="A34" s="31"/>
      <c r="B34" s="31"/>
      <c r="C34" s="31"/>
      <c r="D34" s="30" t="str">
        <f t="shared" si="2"/>
        <v>Reefer Plugs, Electric</v>
      </c>
      <c r="G34" s="41"/>
    </row>
    <row r="35" spans="1:29" s="30" customFormat="1" x14ac:dyDescent="0.3">
      <c r="A35" s="31"/>
      <c r="B35" s="31"/>
      <c r="C35" s="31"/>
      <c r="G35" s="41"/>
    </row>
    <row r="36" spans="1:29" s="30" customFormat="1" x14ac:dyDescent="0.3">
      <c r="A36" s="31"/>
      <c r="B36" s="31"/>
      <c r="C36" s="31"/>
      <c r="G36" s="41"/>
    </row>
    <row r="37" spans="1:29" s="30" customFormat="1" x14ac:dyDescent="0.3">
      <c r="A37" s="31"/>
      <c r="B37" s="31"/>
      <c r="C37" s="31"/>
      <c r="D37" s="31" t="s">
        <v>286</v>
      </c>
      <c r="G37" s="41"/>
    </row>
    <row r="38" spans="1:29" s="30" customFormat="1" x14ac:dyDescent="0.3">
      <c r="A38" s="31"/>
      <c r="B38" s="31"/>
      <c r="C38" s="31"/>
      <c r="D38" s="30" t="str">
        <f>'1_MODEL_assumptions'!D95</f>
        <v>Top Pick</v>
      </c>
      <c r="E38" s="30" t="str">
        <f>'1_MODEL_assumptions'!E95</f>
        <v>gal/yr</v>
      </c>
      <c r="G38" s="6">
        <f t="shared" ref="G38:G51" si="3">SUM(I38:AC38)</f>
        <v>2495001.5999999992</v>
      </c>
      <c r="I38" s="7">
        <f>I5*'1_MODEL_assumptions'!$G95</f>
        <v>297024</v>
      </c>
      <c r="J38" s="7">
        <f>J5*'1_MODEL_assumptions'!$G95</f>
        <v>222767.99999999997</v>
      </c>
      <c r="K38" s="7">
        <f>K5*'1_MODEL_assumptions'!$G95</f>
        <v>103958.39999999999</v>
      </c>
      <c r="L38" s="7">
        <f>L5*'1_MODEL_assumptions'!$G95</f>
        <v>103958.39999999999</v>
      </c>
      <c r="M38" s="7">
        <f>M5*'1_MODEL_assumptions'!$G95</f>
        <v>103958.39999999999</v>
      </c>
      <c r="N38" s="7">
        <f>N5*'1_MODEL_assumptions'!$G95</f>
        <v>103958.39999999999</v>
      </c>
      <c r="O38" s="7">
        <f>O5*'1_MODEL_assumptions'!$G95</f>
        <v>103958.39999999999</v>
      </c>
      <c r="P38" s="7">
        <f>P5*'1_MODEL_assumptions'!$G95</f>
        <v>103958.39999999999</v>
      </c>
      <c r="Q38" s="7">
        <f>Q5*'1_MODEL_assumptions'!$G95</f>
        <v>103958.39999999999</v>
      </c>
      <c r="R38" s="7">
        <f>R5*'1_MODEL_assumptions'!$G95</f>
        <v>103958.39999999999</v>
      </c>
      <c r="S38" s="7">
        <f>S5*'1_MODEL_assumptions'!$G95</f>
        <v>103958.39999999999</v>
      </c>
      <c r="T38" s="7">
        <f>T5*'1_MODEL_assumptions'!$G95</f>
        <v>103958.39999999999</v>
      </c>
      <c r="U38" s="7">
        <f>U5*'1_MODEL_assumptions'!$G95</f>
        <v>103958.39999999999</v>
      </c>
      <c r="V38" s="7">
        <f>V5*'1_MODEL_assumptions'!$G95</f>
        <v>103958.39999999999</v>
      </c>
      <c r="W38" s="7">
        <f>W5*'1_MODEL_assumptions'!$G95</f>
        <v>103958.39999999999</v>
      </c>
      <c r="X38" s="7">
        <f>X5*'1_MODEL_assumptions'!$G95</f>
        <v>103958.39999999999</v>
      </c>
      <c r="Y38" s="7">
        <f>Y5*'1_MODEL_assumptions'!$G95</f>
        <v>103958.39999999999</v>
      </c>
      <c r="Z38" s="7">
        <f>Z5*'1_MODEL_assumptions'!$G95</f>
        <v>103958.39999999999</v>
      </c>
      <c r="AA38" s="7">
        <f>AA5*'1_MODEL_assumptions'!$G95</f>
        <v>103958.39999999999</v>
      </c>
      <c r="AB38" s="7">
        <f>AB5*'1_MODEL_assumptions'!$G95</f>
        <v>103958.39999999999</v>
      </c>
      <c r="AC38" s="7">
        <f>AC5*'1_MODEL_assumptions'!$G95</f>
        <v>103958.39999999999</v>
      </c>
    </row>
    <row r="39" spans="1:29" s="30" customFormat="1" x14ac:dyDescent="0.3">
      <c r="A39" s="31"/>
      <c r="B39" s="31"/>
      <c r="C39" s="31"/>
      <c r="D39" s="30" t="str">
        <f>'1_MODEL_assumptions'!D96</f>
        <v>RTGs, Hybrid</v>
      </c>
      <c r="E39" s="30" t="str">
        <f>'1_MODEL_assumptions'!E96</f>
        <v>gal/yr</v>
      </c>
      <c r="G39" s="6">
        <f t="shared" si="3"/>
        <v>3474339.555555556</v>
      </c>
      <c r="I39" s="7">
        <f>I6*'1_MODEL_assumptions'!$G96</f>
        <v>29443.555555555555</v>
      </c>
      <c r="J39" s="7">
        <f>J6*'1_MODEL_assumptions'!$G96</f>
        <v>88330.666666666657</v>
      </c>
      <c r="K39" s="7">
        <f>K6*'1_MODEL_assumptions'!$G96</f>
        <v>176661.33333333331</v>
      </c>
      <c r="L39" s="7">
        <f>L6*'1_MODEL_assumptions'!$G96</f>
        <v>176661.33333333331</v>
      </c>
      <c r="M39" s="7">
        <f>M6*'1_MODEL_assumptions'!$G96</f>
        <v>176661.33333333331</v>
      </c>
      <c r="N39" s="7">
        <f>N6*'1_MODEL_assumptions'!$G96</f>
        <v>176661.33333333331</v>
      </c>
      <c r="O39" s="7">
        <f>O6*'1_MODEL_assumptions'!$G96</f>
        <v>176661.33333333331</v>
      </c>
      <c r="P39" s="7">
        <f>P6*'1_MODEL_assumptions'!$G96</f>
        <v>176661.33333333331</v>
      </c>
      <c r="Q39" s="7">
        <f>Q6*'1_MODEL_assumptions'!$G96</f>
        <v>176661.33333333331</v>
      </c>
      <c r="R39" s="7">
        <f>R6*'1_MODEL_assumptions'!$G96</f>
        <v>176661.33333333331</v>
      </c>
      <c r="S39" s="7">
        <f>S6*'1_MODEL_assumptions'!$G96</f>
        <v>176661.33333333331</v>
      </c>
      <c r="T39" s="7">
        <f>T6*'1_MODEL_assumptions'!$G96</f>
        <v>176661.33333333331</v>
      </c>
      <c r="U39" s="7">
        <f>U6*'1_MODEL_assumptions'!$G96</f>
        <v>176661.33333333331</v>
      </c>
      <c r="V39" s="7">
        <f>V6*'1_MODEL_assumptions'!$G96</f>
        <v>176661.33333333331</v>
      </c>
      <c r="W39" s="7">
        <f>W6*'1_MODEL_assumptions'!$G96</f>
        <v>176661.33333333331</v>
      </c>
      <c r="X39" s="7">
        <f>X6*'1_MODEL_assumptions'!$G96</f>
        <v>176661.33333333331</v>
      </c>
      <c r="Y39" s="7">
        <f>Y6*'1_MODEL_assumptions'!$G96</f>
        <v>176661.33333333331</v>
      </c>
      <c r="Z39" s="7">
        <f>Z6*'1_MODEL_assumptions'!$G96</f>
        <v>176661.33333333331</v>
      </c>
      <c r="AA39" s="7">
        <f>AA6*'1_MODEL_assumptions'!$G96</f>
        <v>176661.33333333331</v>
      </c>
      <c r="AB39" s="7">
        <f>AB6*'1_MODEL_assumptions'!$G96</f>
        <v>176661.33333333331</v>
      </c>
      <c r="AC39" s="7">
        <f>AC6*'1_MODEL_assumptions'!$G96</f>
        <v>176661.33333333331</v>
      </c>
    </row>
    <row r="40" spans="1:29" s="30" customFormat="1" x14ac:dyDescent="0.3">
      <c r="A40" s="31"/>
      <c r="B40" s="31"/>
      <c r="C40" s="31"/>
      <c r="D40" s="30" t="str">
        <f>'1_MODEL_assumptions'!D97</f>
        <v>Forklift, 10000 lb, Diesel</v>
      </c>
      <c r="E40" s="30" t="str">
        <f>'1_MODEL_assumptions'!E97</f>
        <v>gal/yr</v>
      </c>
      <c r="G40" s="6">
        <f t="shared" si="3"/>
        <v>28392</v>
      </c>
      <c r="I40" s="7">
        <f>I7*'1_MODEL_assumptions'!$G97</f>
        <v>19656</v>
      </c>
      <c r="J40" s="7">
        <f>J7*'1_MODEL_assumptions'!$G97</f>
        <v>8736</v>
      </c>
      <c r="K40" s="7">
        <f>K7*'1_MODEL_assumptions'!$G97</f>
        <v>0</v>
      </c>
      <c r="L40" s="7">
        <f>L7*'1_MODEL_assumptions'!$G97</f>
        <v>0</v>
      </c>
      <c r="M40" s="7">
        <f>M7*'1_MODEL_assumptions'!$G97</f>
        <v>0</v>
      </c>
      <c r="N40" s="7">
        <f>N7*'1_MODEL_assumptions'!$G97</f>
        <v>0</v>
      </c>
      <c r="O40" s="7">
        <f>O7*'1_MODEL_assumptions'!$G97</f>
        <v>0</v>
      </c>
      <c r="P40" s="7">
        <f>P7*'1_MODEL_assumptions'!$G97</f>
        <v>0</v>
      </c>
      <c r="Q40" s="7">
        <f>Q7*'1_MODEL_assumptions'!$G97</f>
        <v>0</v>
      </c>
      <c r="R40" s="7">
        <f>R7*'1_MODEL_assumptions'!$G97</f>
        <v>0</v>
      </c>
      <c r="S40" s="7">
        <f>S7*'1_MODEL_assumptions'!$G97</f>
        <v>0</v>
      </c>
      <c r="T40" s="7">
        <f>T7*'1_MODEL_assumptions'!$G97</f>
        <v>0</v>
      </c>
      <c r="U40" s="7">
        <f>U7*'1_MODEL_assumptions'!$G97</f>
        <v>0</v>
      </c>
      <c r="V40" s="7">
        <f>V7*'1_MODEL_assumptions'!$G97</f>
        <v>0</v>
      </c>
      <c r="W40" s="7">
        <f>W7*'1_MODEL_assumptions'!$G97</f>
        <v>0</v>
      </c>
      <c r="X40" s="7">
        <f>X7*'1_MODEL_assumptions'!$G97</f>
        <v>0</v>
      </c>
      <c r="Y40" s="7">
        <f>Y7*'1_MODEL_assumptions'!$G97</f>
        <v>0</v>
      </c>
      <c r="Z40" s="7">
        <f>Z7*'1_MODEL_assumptions'!$G97</f>
        <v>0</v>
      </c>
      <c r="AA40" s="7">
        <f>AA7*'1_MODEL_assumptions'!$G97</f>
        <v>0</v>
      </c>
      <c r="AB40" s="7">
        <f>AB7*'1_MODEL_assumptions'!$G97</f>
        <v>0</v>
      </c>
      <c r="AC40" s="7">
        <f>AC7*'1_MODEL_assumptions'!$G97</f>
        <v>0</v>
      </c>
    </row>
    <row r="41" spans="1:29" s="30" customFormat="1" x14ac:dyDescent="0.3">
      <c r="A41" s="31"/>
      <c r="B41" s="31"/>
      <c r="C41" s="31"/>
      <c r="D41" s="30" t="str">
        <f>'1_MODEL_assumptions'!D98</f>
        <v>Forklift, 10000 lb, electric</v>
      </c>
      <c r="E41" s="30" t="str">
        <f>'1_MODEL_assumptions'!E98</f>
        <v>kWh/yr</v>
      </c>
      <c r="G41" s="6">
        <f t="shared" si="3"/>
        <v>6692746.6666666623</v>
      </c>
      <c r="I41" s="7">
        <f>I8*'1_MODEL_assumptions'!$G98</f>
        <v>33973.333333333328</v>
      </c>
      <c r="J41" s="7">
        <f>J8*'1_MODEL_assumptions'!$G98</f>
        <v>203839.99999999997</v>
      </c>
      <c r="K41" s="7">
        <f>K8*'1_MODEL_assumptions'!$G98</f>
        <v>339733.33333333326</v>
      </c>
      <c r="L41" s="7">
        <f>L8*'1_MODEL_assumptions'!$G98</f>
        <v>339733.33333333326</v>
      </c>
      <c r="M41" s="7">
        <f>M8*'1_MODEL_assumptions'!$G98</f>
        <v>339733.33333333326</v>
      </c>
      <c r="N41" s="7">
        <f>N8*'1_MODEL_assumptions'!$G98</f>
        <v>339733.33333333326</v>
      </c>
      <c r="O41" s="7">
        <f>O8*'1_MODEL_assumptions'!$G98</f>
        <v>339733.33333333326</v>
      </c>
      <c r="P41" s="7">
        <f>P8*'1_MODEL_assumptions'!$G98</f>
        <v>339733.33333333326</v>
      </c>
      <c r="Q41" s="7">
        <f>Q8*'1_MODEL_assumptions'!$G98</f>
        <v>339733.33333333326</v>
      </c>
      <c r="R41" s="7">
        <f>R8*'1_MODEL_assumptions'!$G98</f>
        <v>339733.33333333326</v>
      </c>
      <c r="S41" s="7">
        <f>S8*'1_MODEL_assumptions'!$G98</f>
        <v>339733.33333333326</v>
      </c>
      <c r="T41" s="7">
        <f>T8*'1_MODEL_assumptions'!$G98</f>
        <v>339733.33333333326</v>
      </c>
      <c r="U41" s="7">
        <f>U8*'1_MODEL_assumptions'!$G98</f>
        <v>339733.33333333326</v>
      </c>
      <c r="V41" s="7">
        <f>V8*'1_MODEL_assumptions'!$G98</f>
        <v>339733.33333333326</v>
      </c>
      <c r="W41" s="7">
        <f>W8*'1_MODEL_assumptions'!$G98</f>
        <v>339733.33333333326</v>
      </c>
      <c r="X41" s="7">
        <f>X8*'1_MODEL_assumptions'!$G98</f>
        <v>339733.33333333326</v>
      </c>
      <c r="Y41" s="7">
        <f>Y8*'1_MODEL_assumptions'!$G98</f>
        <v>339733.33333333326</v>
      </c>
      <c r="Z41" s="7">
        <f>Z8*'1_MODEL_assumptions'!$G98</f>
        <v>339733.33333333326</v>
      </c>
      <c r="AA41" s="7">
        <f>AA8*'1_MODEL_assumptions'!$G98</f>
        <v>339733.33333333326</v>
      </c>
      <c r="AB41" s="7">
        <f>AB8*'1_MODEL_assumptions'!$G98</f>
        <v>339733.33333333326</v>
      </c>
      <c r="AC41" s="7">
        <f>AC8*'1_MODEL_assumptions'!$G98</f>
        <v>339733.33333333326</v>
      </c>
    </row>
    <row r="42" spans="1:29" s="30" customFormat="1" x14ac:dyDescent="0.3">
      <c r="A42" s="31"/>
      <c r="B42" s="31"/>
      <c r="C42" s="31"/>
      <c r="D42" s="30" t="str">
        <f>'1_MODEL_assumptions'!D99</f>
        <v>Forklift, 18000 lb, Diesel</v>
      </c>
      <c r="E42" s="30" t="str">
        <f>'1_MODEL_assumptions'!E99</f>
        <v>gal/yr</v>
      </c>
      <c r="G42" s="6">
        <f t="shared" si="3"/>
        <v>54599.999999999985</v>
      </c>
      <c r="I42" s="7">
        <f>I9*'1_MODEL_assumptions'!$G99</f>
        <v>36399.999999999993</v>
      </c>
      <c r="J42" s="7">
        <f>J9*'1_MODEL_assumptions'!$G99</f>
        <v>18199.999999999996</v>
      </c>
      <c r="K42" s="7">
        <f>K9*'1_MODEL_assumptions'!$G99</f>
        <v>0</v>
      </c>
      <c r="L42" s="7">
        <f>L9*'1_MODEL_assumptions'!$G99</f>
        <v>0</v>
      </c>
      <c r="M42" s="7">
        <f>M9*'1_MODEL_assumptions'!$G99</f>
        <v>0</v>
      </c>
      <c r="N42" s="7">
        <f>N9*'1_MODEL_assumptions'!$G99</f>
        <v>0</v>
      </c>
      <c r="O42" s="7">
        <f>O9*'1_MODEL_assumptions'!$G99</f>
        <v>0</v>
      </c>
      <c r="P42" s="7">
        <f>P9*'1_MODEL_assumptions'!$G99</f>
        <v>0</v>
      </c>
      <c r="Q42" s="7">
        <f>Q9*'1_MODEL_assumptions'!$G99</f>
        <v>0</v>
      </c>
      <c r="R42" s="7">
        <f>R9*'1_MODEL_assumptions'!$G99</f>
        <v>0</v>
      </c>
      <c r="S42" s="7">
        <f>S9*'1_MODEL_assumptions'!$G99</f>
        <v>0</v>
      </c>
      <c r="T42" s="7">
        <f>T9*'1_MODEL_assumptions'!$G99</f>
        <v>0</v>
      </c>
      <c r="U42" s="7">
        <f>U9*'1_MODEL_assumptions'!$G99</f>
        <v>0</v>
      </c>
      <c r="V42" s="7">
        <f>V9*'1_MODEL_assumptions'!$G99</f>
        <v>0</v>
      </c>
      <c r="W42" s="7">
        <f>W9*'1_MODEL_assumptions'!$G99</f>
        <v>0</v>
      </c>
      <c r="X42" s="7">
        <f>X9*'1_MODEL_assumptions'!$G99</f>
        <v>0</v>
      </c>
      <c r="Y42" s="7">
        <f>Y9*'1_MODEL_assumptions'!$G99</f>
        <v>0</v>
      </c>
      <c r="Z42" s="7">
        <f>Z9*'1_MODEL_assumptions'!$G99</f>
        <v>0</v>
      </c>
      <c r="AA42" s="7">
        <f>AA9*'1_MODEL_assumptions'!$G99</f>
        <v>0</v>
      </c>
      <c r="AB42" s="7">
        <f>AB9*'1_MODEL_assumptions'!$G99</f>
        <v>0</v>
      </c>
      <c r="AC42" s="7">
        <f>AC9*'1_MODEL_assumptions'!$G99</f>
        <v>0</v>
      </c>
    </row>
    <row r="43" spans="1:29" s="30" customFormat="1" x14ac:dyDescent="0.3">
      <c r="A43" s="31"/>
      <c r="B43" s="31"/>
      <c r="C43" s="31"/>
      <c r="D43" s="30" t="str">
        <f>'1_MODEL_assumptions'!D100</f>
        <v>Forklift, 18000 lb, electric</v>
      </c>
      <c r="E43" s="30" t="str">
        <f>'1_MODEL_assumptions'!E100</f>
        <v>kWh/yr</v>
      </c>
      <c r="G43" s="6">
        <f t="shared" si="3"/>
        <v>7571200.0000000047</v>
      </c>
      <c r="I43" s="7">
        <f>I10*'1_MODEL_assumptions'!$G100</f>
        <v>0</v>
      </c>
      <c r="J43" s="7">
        <f>J10*'1_MODEL_assumptions'!$G100</f>
        <v>194133.33333333337</v>
      </c>
      <c r="K43" s="7">
        <f>K10*'1_MODEL_assumptions'!$G100</f>
        <v>388266.66666666674</v>
      </c>
      <c r="L43" s="7">
        <f>L10*'1_MODEL_assumptions'!$G100</f>
        <v>388266.66666666674</v>
      </c>
      <c r="M43" s="7">
        <f>M10*'1_MODEL_assumptions'!$G100</f>
        <v>388266.66666666674</v>
      </c>
      <c r="N43" s="7">
        <f>N10*'1_MODEL_assumptions'!$G100</f>
        <v>388266.66666666674</v>
      </c>
      <c r="O43" s="7">
        <f>O10*'1_MODEL_assumptions'!$G100</f>
        <v>388266.66666666674</v>
      </c>
      <c r="P43" s="7">
        <f>P10*'1_MODEL_assumptions'!$G100</f>
        <v>388266.66666666674</v>
      </c>
      <c r="Q43" s="7">
        <f>Q10*'1_MODEL_assumptions'!$G100</f>
        <v>388266.66666666674</v>
      </c>
      <c r="R43" s="7">
        <f>R10*'1_MODEL_assumptions'!$G100</f>
        <v>388266.66666666674</v>
      </c>
      <c r="S43" s="7">
        <f>S10*'1_MODEL_assumptions'!$G100</f>
        <v>388266.66666666674</v>
      </c>
      <c r="T43" s="7">
        <f>T10*'1_MODEL_assumptions'!$G100</f>
        <v>388266.66666666674</v>
      </c>
      <c r="U43" s="7">
        <f>U10*'1_MODEL_assumptions'!$G100</f>
        <v>388266.66666666674</v>
      </c>
      <c r="V43" s="7">
        <f>V10*'1_MODEL_assumptions'!$G100</f>
        <v>388266.66666666674</v>
      </c>
      <c r="W43" s="7">
        <f>W10*'1_MODEL_assumptions'!$G100</f>
        <v>388266.66666666674</v>
      </c>
      <c r="X43" s="7">
        <f>X10*'1_MODEL_assumptions'!$G100</f>
        <v>388266.66666666674</v>
      </c>
      <c r="Y43" s="7">
        <f>Y10*'1_MODEL_assumptions'!$G100</f>
        <v>388266.66666666674</v>
      </c>
      <c r="Z43" s="7">
        <f>Z10*'1_MODEL_assumptions'!$G100</f>
        <v>388266.66666666674</v>
      </c>
      <c r="AA43" s="7">
        <f>AA10*'1_MODEL_assumptions'!$G100</f>
        <v>388266.66666666674</v>
      </c>
      <c r="AB43" s="7">
        <f>AB10*'1_MODEL_assumptions'!$G100</f>
        <v>388266.66666666674</v>
      </c>
      <c r="AC43" s="7">
        <f>AC10*'1_MODEL_assumptions'!$G100</f>
        <v>388266.66666666674</v>
      </c>
    </row>
    <row r="44" spans="1:29" s="30" customFormat="1" x14ac:dyDescent="0.3">
      <c r="A44" s="31"/>
      <c r="B44" s="31"/>
      <c r="C44" s="31"/>
      <c r="D44" s="30" t="str">
        <f>'1_MODEL_assumptions'!D101</f>
        <v>Forklift, 36000 lb, diesel</v>
      </c>
      <c r="E44" s="30" t="str">
        <f>'1_MODEL_assumptions'!E101</f>
        <v>gal/yr</v>
      </c>
      <c r="G44" s="6">
        <f t="shared" si="3"/>
        <v>54891.199999999997</v>
      </c>
      <c r="I44" s="7">
        <f>I11*'1_MODEL_assumptions'!$G101</f>
        <v>38001.599999999999</v>
      </c>
      <c r="J44" s="7">
        <f>J11*'1_MODEL_assumptions'!$G101</f>
        <v>16889.599999999999</v>
      </c>
      <c r="K44" s="7">
        <f>K11*'1_MODEL_assumptions'!$G101</f>
        <v>0</v>
      </c>
      <c r="L44" s="7">
        <f>L11*'1_MODEL_assumptions'!$G101</f>
        <v>0</v>
      </c>
      <c r="M44" s="7">
        <f>M11*'1_MODEL_assumptions'!$G101</f>
        <v>0</v>
      </c>
      <c r="N44" s="7">
        <f>N11*'1_MODEL_assumptions'!$G101</f>
        <v>0</v>
      </c>
      <c r="O44" s="7">
        <f>O11*'1_MODEL_assumptions'!$G101</f>
        <v>0</v>
      </c>
      <c r="P44" s="7">
        <f>P11*'1_MODEL_assumptions'!$G101</f>
        <v>0</v>
      </c>
      <c r="Q44" s="7">
        <f>Q11*'1_MODEL_assumptions'!$G101</f>
        <v>0</v>
      </c>
      <c r="R44" s="7">
        <f>R11*'1_MODEL_assumptions'!$G101</f>
        <v>0</v>
      </c>
      <c r="S44" s="7">
        <f>S11*'1_MODEL_assumptions'!$G101</f>
        <v>0</v>
      </c>
      <c r="T44" s="7">
        <f>T11*'1_MODEL_assumptions'!$G101</f>
        <v>0</v>
      </c>
      <c r="U44" s="7">
        <f>U11*'1_MODEL_assumptions'!$G101</f>
        <v>0</v>
      </c>
      <c r="V44" s="7">
        <f>V11*'1_MODEL_assumptions'!$G101</f>
        <v>0</v>
      </c>
      <c r="W44" s="7">
        <f>W11*'1_MODEL_assumptions'!$G101</f>
        <v>0</v>
      </c>
      <c r="X44" s="7">
        <f>X11*'1_MODEL_assumptions'!$G101</f>
        <v>0</v>
      </c>
      <c r="Y44" s="7">
        <f>Y11*'1_MODEL_assumptions'!$G101</f>
        <v>0</v>
      </c>
      <c r="Z44" s="7">
        <f>Z11*'1_MODEL_assumptions'!$G101</f>
        <v>0</v>
      </c>
      <c r="AA44" s="7">
        <f>AA11*'1_MODEL_assumptions'!$G101</f>
        <v>0</v>
      </c>
      <c r="AB44" s="7">
        <f>AB11*'1_MODEL_assumptions'!$G101</f>
        <v>0</v>
      </c>
      <c r="AC44" s="7">
        <f>AC11*'1_MODEL_assumptions'!$G101</f>
        <v>0</v>
      </c>
    </row>
    <row r="45" spans="1:29" s="30" customFormat="1" x14ac:dyDescent="0.3">
      <c r="A45" s="31"/>
      <c r="B45" s="31"/>
      <c r="C45" s="31"/>
      <c r="D45" s="30" t="str">
        <f>'1_MODEL_assumptions'!D102</f>
        <v>Forklift, 36000 lb, electric</v>
      </c>
      <c r="E45" s="30" t="str">
        <f>'1_MODEL_assumptions'!E102</f>
        <v>kWh/yr</v>
      </c>
      <c r="G45" s="6">
        <f t="shared" si="3"/>
        <v>9561066.666666666</v>
      </c>
      <c r="I45" s="7">
        <f>I12*'1_MODEL_assumptions'!$G102</f>
        <v>48533.333333333336</v>
      </c>
      <c r="J45" s="7">
        <f>J12*'1_MODEL_assumptions'!$G102</f>
        <v>291200</v>
      </c>
      <c r="K45" s="7">
        <f>K12*'1_MODEL_assumptions'!$G102</f>
        <v>485333.33333333337</v>
      </c>
      <c r="L45" s="7">
        <f>L12*'1_MODEL_assumptions'!$G102</f>
        <v>485333.33333333337</v>
      </c>
      <c r="M45" s="7">
        <f>M12*'1_MODEL_assumptions'!$G102</f>
        <v>485333.33333333337</v>
      </c>
      <c r="N45" s="7">
        <f>N12*'1_MODEL_assumptions'!$G102</f>
        <v>485333.33333333337</v>
      </c>
      <c r="O45" s="7">
        <f>O12*'1_MODEL_assumptions'!$G102</f>
        <v>485333.33333333337</v>
      </c>
      <c r="P45" s="7">
        <f>P12*'1_MODEL_assumptions'!$G102</f>
        <v>485333.33333333337</v>
      </c>
      <c r="Q45" s="7">
        <f>Q12*'1_MODEL_assumptions'!$G102</f>
        <v>485333.33333333337</v>
      </c>
      <c r="R45" s="7">
        <f>R12*'1_MODEL_assumptions'!$G102</f>
        <v>485333.33333333337</v>
      </c>
      <c r="S45" s="7">
        <f>S12*'1_MODEL_assumptions'!$G102</f>
        <v>485333.33333333337</v>
      </c>
      <c r="T45" s="7">
        <f>T12*'1_MODEL_assumptions'!$G102</f>
        <v>485333.33333333337</v>
      </c>
      <c r="U45" s="7">
        <f>U12*'1_MODEL_assumptions'!$G102</f>
        <v>485333.33333333337</v>
      </c>
      <c r="V45" s="7">
        <f>V12*'1_MODEL_assumptions'!$G102</f>
        <v>485333.33333333337</v>
      </c>
      <c r="W45" s="7">
        <f>W12*'1_MODEL_assumptions'!$G102</f>
        <v>485333.33333333337</v>
      </c>
      <c r="X45" s="7">
        <f>X12*'1_MODEL_assumptions'!$G102</f>
        <v>485333.33333333337</v>
      </c>
      <c r="Y45" s="7">
        <f>Y12*'1_MODEL_assumptions'!$G102</f>
        <v>485333.33333333337</v>
      </c>
      <c r="Z45" s="7">
        <f>Z12*'1_MODEL_assumptions'!$G102</f>
        <v>485333.33333333337</v>
      </c>
      <c r="AA45" s="7">
        <f>AA12*'1_MODEL_assumptions'!$G102</f>
        <v>485333.33333333337</v>
      </c>
      <c r="AB45" s="7">
        <f>AB12*'1_MODEL_assumptions'!$G102</f>
        <v>485333.33333333337</v>
      </c>
      <c r="AC45" s="7">
        <f>AC12*'1_MODEL_assumptions'!$G102</f>
        <v>485333.33333333337</v>
      </c>
    </row>
    <row r="46" spans="1:29" s="30" customFormat="1" x14ac:dyDescent="0.3">
      <c r="A46" s="31"/>
      <c r="B46" s="31"/>
      <c r="C46" s="31"/>
      <c r="D46" s="30" t="str">
        <f>'1_MODEL_assumptions'!D103</f>
        <v>Yard Tractor, Diesel</v>
      </c>
      <c r="E46" s="30" t="str">
        <f>'1_MODEL_assumptions'!E103</f>
        <v>gal/yr</v>
      </c>
      <c r="G46" s="6">
        <f t="shared" si="3"/>
        <v>75712</v>
      </c>
      <c r="I46" s="7">
        <f>I13*'1_MODEL_assumptions'!$G103</f>
        <v>52416</v>
      </c>
      <c r="J46" s="7">
        <f>J13*'1_MODEL_assumptions'!$G103</f>
        <v>23296</v>
      </c>
      <c r="K46" s="7">
        <f>K13*'1_MODEL_assumptions'!$G103</f>
        <v>0</v>
      </c>
      <c r="L46" s="7">
        <f>L13*'1_MODEL_assumptions'!$G103</f>
        <v>0</v>
      </c>
      <c r="M46" s="7">
        <f>M13*'1_MODEL_assumptions'!$G103</f>
        <v>0</v>
      </c>
      <c r="N46" s="7">
        <f>N13*'1_MODEL_assumptions'!$G103</f>
        <v>0</v>
      </c>
      <c r="O46" s="7">
        <f>O13*'1_MODEL_assumptions'!$G103</f>
        <v>0</v>
      </c>
      <c r="P46" s="7">
        <f>P13*'1_MODEL_assumptions'!$G103</f>
        <v>0</v>
      </c>
      <c r="Q46" s="7">
        <f>Q13*'1_MODEL_assumptions'!$G103</f>
        <v>0</v>
      </c>
      <c r="R46" s="7">
        <f>R13*'1_MODEL_assumptions'!$G103</f>
        <v>0</v>
      </c>
      <c r="S46" s="7">
        <f>S13*'1_MODEL_assumptions'!$G103</f>
        <v>0</v>
      </c>
      <c r="T46" s="7">
        <f>T13*'1_MODEL_assumptions'!$G103</f>
        <v>0</v>
      </c>
      <c r="U46" s="7">
        <f>U13*'1_MODEL_assumptions'!$G103</f>
        <v>0</v>
      </c>
      <c r="V46" s="7">
        <f>V13*'1_MODEL_assumptions'!$G103</f>
        <v>0</v>
      </c>
      <c r="W46" s="7">
        <f>W13*'1_MODEL_assumptions'!$G103</f>
        <v>0</v>
      </c>
      <c r="X46" s="7">
        <f>X13*'1_MODEL_assumptions'!$G103</f>
        <v>0</v>
      </c>
      <c r="Y46" s="7">
        <f>Y13*'1_MODEL_assumptions'!$G103</f>
        <v>0</v>
      </c>
      <c r="Z46" s="7">
        <f>Z13*'1_MODEL_assumptions'!$G103</f>
        <v>0</v>
      </c>
      <c r="AA46" s="7">
        <f>AA13*'1_MODEL_assumptions'!$G103</f>
        <v>0</v>
      </c>
      <c r="AB46" s="7">
        <f>AB13*'1_MODEL_assumptions'!$G103</f>
        <v>0</v>
      </c>
      <c r="AC46" s="7">
        <f>AC13*'1_MODEL_assumptions'!$G103</f>
        <v>0</v>
      </c>
    </row>
    <row r="47" spans="1:29" s="30" customFormat="1" x14ac:dyDescent="0.3">
      <c r="A47" s="31"/>
      <c r="B47" s="31"/>
      <c r="C47" s="31"/>
      <c r="D47" s="30" t="str">
        <f>'1_MODEL_assumptions'!D104</f>
        <v>Yard Tractor, electric</v>
      </c>
      <c r="E47" s="30" t="str">
        <f>'1_MODEL_assumptions'!E104</f>
        <v>kWh/yr</v>
      </c>
      <c r="G47" s="6">
        <f t="shared" si="3"/>
        <v>9898516.0784313735</v>
      </c>
      <c r="I47" s="7">
        <f>I14*'1_MODEL_assumptions'!$G104</f>
        <v>50246.274509803916</v>
      </c>
      <c r="J47" s="7">
        <f>J14*'1_MODEL_assumptions'!$G104</f>
        <v>301477.6470588235</v>
      </c>
      <c r="K47" s="7">
        <f>K14*'1_MODEL_assumptions'!$G104</f>
        <v>502462.74509803916</v>
      </c>
      <c r="L47" s="7">
        <f>L14*'1_MODEL_assumptions'!$G104</f>
        <v>502462.74509803916</v>
      </c>
      <c r="M47" s="7">
        <f>M14*'1_MODEL_assumptions'!$G104</f>
        <v>502462.74509803916</v>
      </c>
      <c r="N47" s="7">
        <f>N14*'1_MODEL_assumptions'!$G104</f>
        <v>502462.74509803916</v>
      </c>
      <c r="O47" s="7">
        <f>O14*'1_MODEL_assumptions'!$G104</f>
        <v>502462.74509803916</v>
      </c>
      <c r="P47" s="7">
        <f>P14*'1_MODEL_assumptions'!$G104</f>
        <v>502462.74509803916</v>
      </c>
      <c r="Q47" s="7">
        <f>Q14*'1_MODEL_assumptions'!$G104</f>
        <v>502462.74509803916</v>
      </c>
      <c r="R47" s="7">
        <f>R14*'1_MODEL_assumptions'!$G104</f>
        <v>502462.74509803916</v>
      </c>
      <c r="S47" s="7">
        <f>S14*'1_MODEL_assumptions'!$G104</f>
        <v>502462.74509803916</v>
      </c>
      <c r="T47" s="7">
        <f>T14*'1_MODEL_assumptions'!$G104</f>
        <v>502462.74509803916</v>
      </c>
      <c r="U47" s="7">
        <f>U14*'1_MODEL_assumptions'!$G104</f>
        <v>502462.74509803916</v>
      </c>
      <c r="V47" s="7">
        <f>V14*'1_MODEL_assumptions'!$G104</f>
        <v>502462.74509803916</v>
      </c>
      <c r="W47" s="7">
        <f>W14*'1_MODEL_assumptions'!$G104</f>
        <v>502462.74509803916</v>
      </c>
      <c r="X47" s="7">
        <f>X14*'1_MODEL_assumptions'!$G104</f>
        <v>502462.74509803916</v>
      </c>
      <c r="Y47" s="7">
        <f>Y14*'1_MODEL_assumptions'!$G104</f>
        <v>502462.74509803916</v>
      </c>
      <c r="Z47" s="7">
        <f>Z14*'1_MODEL_assumptions'!$G104</f>
        <v>502462.74509803916</v>
      </c>
      <c r="AA47" s="7">
        <f>AA14*'1_MODEL_assumptions'!$G104</f>
        <v>502462.74509803916</v>
      </c>
      <c r="AB47" s="7">
        <f>AB14*'1_MODEL_assumptions'!$G104</f>
        <v>502462.74509803916</v>
      </c>
      <c r="AC47" s="7">
        <f>AC14*'1_MODEL_assumptions'!$G104</f>
        <v>502462.74509803916</v>
      </c>
    </row>
    <row r="48" spans="1:29" s="30" customFormat="1" x14ac:dyDescent="0.3">
      <c r="A48" s="31"/>
      <c r="B48" s="31"/>
      <c r="C48" s="31"/>
      <c r="D48" s="30" t="str">
        <f>'1_MODEL_assumptions'!D105</f>
        <v>Reefer Power Packs, 30 plugs, dual engine, Tier 3, 400 HP CAT</v>
      </c>
      <c r="E48" s="30" t="str">
        <f>'1_MODEL_assumptions'!E105</f>
        <v>gal/yr</v>
      </c>
      <c r="G48" s="6">
        <f t="shared" si="3"/>
        <v>71017.320000000007</v>
      </c>
      <c r="I48" s="7">
        <f>I15*'1_MODEL_assumptions'!$G105</f>
        <v>35508.660000000003</v>
      </c>
      <c r="J48" s="7">
        <f>J15*'1_MODEL_assumptions'!$G105</f>
        <v>35508.660000000003</v>
      </c>
      <c r="K48" s="7">
        <f>K15*'1_MODEL_assumptions'!$G105</f>
        <v>0</v>
      </c>
      <c r="L48" s="7">
        <f>L15*'1_MODEL_assumptions'!$G105</f>
        <v>0</v>
      </c>
      <c r="M48" s="7">
        <f>M15*'1_MODEL_assumptions'!$G105</f>
        <v>0</v>
      </c>
      <c r="N48" s="7">
        <f>N15*'1_MODEL_assumptions'!$G105</f>
        <v>0</v>
      </c>
      <c r="O48" s="7">
        <f>O15*'1_MODEL_assumptions'!$G105</f>
        <v>0</v>
      </c>
      <c r="P48" s="7">
        <f>P15*'1_MODEL_assumptions'!$G105</f>
        <v>0</v>
      </c>
      <c r="Q48" s="7">
        <f>Q15*'1_MODEL_assumptions'!$G105</f>
        <v>0</v>
      </c>
      <c r="R48" s="7">
        <f>R15*'1_MODEL_assumptions'!$G105</f>
        <v>0</v>
      </c>
      <c r="S48" s="7">
        <f>S15*'1_MODEL_assumptions'!$G105</f>
        <v>0</v>
      </c>
      <c r="T48" s="7">
        <f>T15*'1_MODEL_assumptions'!$G105</f>
        <v>0</v>
      </c>
      <c r="U48" s="7">
        <f>U15*'1_MODEL_assumptions'!$G105</f>
        <v>0</v>
      </c>
      <c r="V48" s="7">
        <f>V15*'1_MODEL_assumptions'!$G105</f>
        <v>0</v>
      </c>
      <c r="W48" s="7">
        <f>W15*'1_MODEL_assumptions'!$G105</f>
        <v>0</v>
      </c>
      <c r="X48" s="7">
        <f>X15*'1_MODEL_assumptions'!$G105</f>
        <v>0</v>
      </c>
      <c r="Y48" s="7">
        <f>Y15*'1_MODEL_assumptions'!$G105</f>
        <v>0</v>
      </c>
      <c r="Z48" s="7">
        <f>Z15*'1_MODEL_assumptions'!$G105</f>
        <v>0</v>
      </c>
      <c r="AA48" s="7">
        <f>AA15*'1_MODEL_assumptions'!$G105</f>
        <v>0</v>
      </c>
      <c r="AB48" s="7">
        <f>AB15*'1_MODEL_assumptions'!$G105</f>
        <v>0</v>
      </c>
      <c r="AC48" s="7">
        <f>AC15*'1_MODEL_assumptions'!$G105</f>
        <v>0</v>
      </c>
    </row>
    <row r="49" spans="1:29" s="30" customFormat="1" x14ac:dyDescent="0.3">
      <c r="A49" s="31"/>
      <c r="B49" s="31"/>
      <c r="C49" s="31"/>
      <c r="D49" s="30" t="str">
        <f>'1_MODEL_assumptions'!D106</f>
        <v>Reefer Power Packs, 30 plugs, single engine, Tier 3 400 HP CAT</v>
      </c>
      <c r="E49" s="30" t="str">
        <f>'1_MODEL_assumptions'!E106</f>
        <v>gal/yr</v>
      </c>
      <c r="G49" s="6">
        <f t="shared" si="3"/>
        <v>29052.54</v>
      </c>
      <c r="I49" s="7">
        <f>I16*'1_MODEL_assumptions'!$G106</f>
        <v>29052.54</v>
      </c>
      <c r="J49" s="7">
        <f>J16*'1_MODEL_assumptions'!$G106</f>
        <v>0</v>
      </c>
      <c r="K49" s="7">
        <f>K16*'1_MODEL_assumptions'!$G106</f>
        <v>0</v>
      </c>
      <c r="L49" s="7">
        <f>L16*'1_MODEL_assumptions'!$G106</f>
        <v>0</v>
      </c>
      <c r="M49" s="7">
        <f>M16*'1_MODEL_assumptions'!$G106</f>
        <v>0</v>
      </c>
      <c r="N49" s="7">
        <f>N16*'1_MODEL_assumptions'!$G106</f>
        <v>0</v>
      </c>
      <c r="O49" s="7">
        <f>O16*'1_MODEL_assumptions'!$G106</f>
        <v>0</v>
      </c>
      <c r="P49" s="7">
        <f>P16*'1_MODEL_assumptions'!$G106</f>
        <v>0</v>
      </c>
      <c r="Q49" s="7">
        <f>Q16*'1_MODEL_assumptions'!$G106</f>
        <v>0</v>
      </c>
      <c r="R49" s="7">
        <f>R16*'1_MODEL_assumptions'!$G106</f>
        <v>0</v>
      </c>
      <c r="S49" s="7">
        <f>S16*'1_MODEL_assumptions'!$G106</f>
        <v>0</v>
      </c>
      <c r="T49" s="7">
        <f>T16*'1_MODEL_assumptions'!$G106</f>
        <v>0</v>
      </c>
      <c r="U49" s="7">
        <f>U16*'1_MODEL_assumptions'!$G106</f>
        <v>0</v>
      </c>
      <c r="V49" s="7">
        <f>V16*'1_MODEL_assumptions'!$G106</f>
        <v>0</v>
      </c>
      <c r="W49" s="7">
        <f>W16*'1_MODEL_assumptions'!$G106</f>
        <v>0</v>
      </c>
      <c r="X49" s="7">
        <f>X16*'1_MODEL_assumptions'!$G106</f>
        <v>0</v>
      </c>
      <c r="Y49" s="7">
        <f>Y16*'1_MODEL_assumptions'!$G106</f>
        <v>0</v>
      </c>
      <c r="Z49" s="7">
        <f>Z16*'1_MODEL_assumptions'!$G106</f>
        <v>0</v>
      </c>
      <c r="AA49" s="7">
        <f>AA16*'1_MODEL_assumptions'!$G106</f>
        <v>0</v>
      </c>
      <c r="AB49" s="7">
        <f>AB16*'1_MODEL_assumptions'!$G106</f>
        <v>0</v>
      </c>
      <c r="AC49" s="7">
        <f>AC16*'1_MODEL_assumptions'!$G106</f>
        <v>0</v>
      </c>
    </row>
    <row r="50" spans="1:29" s="30" customFormat="1" x14ac:dyDescent="0.3">
      <c r="A50" s="31"/>
      <c r="B50" s="31"/>
      <c r="C50" s="31"/>
      <c r="D50" s="30" t="str">
        <f>'1_MODEL_assumptions'!D107</f>
        <v>Nose Mount genset 1 plug, single engine, Tier 3, 32-34HP, Kubota / Carrier or Yanmar</v>
      </c>
      <c r="E50" s="30" t="str">
        <f>'1_MODEL_assumptions'!E107</f>
        <v>gal/yr</v>
      </c>
      <c r="G50" s="6">
        <f t="shared" si="3"/>
        <v>129122.40000000002</v>
      </c>
      <c r="I50" s="7">
        <f>I17*'1_MODEL_assumptions'!$G107</f>
        <v>129122.40000000002</v>
      </c>
      <c r="J50" s="7">
        <f>J17*'1_MODEL_assumptions'!$G107</f>
        <v>0</v>
      </c>
      <c r="K50" s="7">
        <f>K17*'1_MODEL_assumptions'!$G107</f>
        <v>0</v>
      </c>
      <c r="L50" s="7">
        <f>L17*'1_MODEL_assumptions'!$G107</f>
        <v>0</v>
      </c>
      <c r="M50" s="7">
        <f>M17*'1_MODEL_assumptions'!$G107</f>
        <v>0</v>
      </c>
      <c r="N50" s="7">
        <f>N17*'1_MODEL_assumptions'!$G107</f>
        <v>0</v>
      </c>
      <c r="O50" s="7">
        <f>O17*'1_MODEL_assumptions'!$G107</f>
        <v>0</v>
      </c>
      <c r="P50" s="7">
        <f>P17*'1_MODEL_assumptions'!$G107</f>
        <v>0</v>
      </c>
      <c r="Q50" s="7">
        <f>Q17*'1_MODEL_assumptions'!$G107</f>
        <v>0</v>
      </c>
      <c r="R50" s="7">
        <f>R17*'1_MODEL_assumptions'!$G107</f>
        <v>0</v>
      </c>
      <c r="S50" s="7">
        <f>S17*'1_MODEL_assumptions'!$G107</f>
        <v>0</v>
      </c>
      <c r="T50" s="7">
        <f>T17*'1_MODEL_assumptions'!$G107</f>
        <v>0</v>
      </c>
      <c r="U50" s="7">
        <f>U17*'1_MODEL_assumptions'!$G107</f>
        <v>0</v>
      </c>
      <c r="V50" s="7">
        <f>V17*'1_MODEL_assumptions'!$G107</f>
        <v>0</v>
      </c>
      <c r="W50" s="7">
        <f>W17*'1_MODEL_assumptions'!$G107</f>
        <v>0</v>
      </c>
      <c r="X50" s="7">
        <f>X17*'1_MODEL_assumptions'!$G107</f>
        <v>0</v>
      </c>
      <c r="Y50" s="7">
        <f>Y17*'1_MODEL_assumptions'!$G107</f>
        <v>0</v>
      </c>
      <c r="Z50" s="7">
        <f>Z17*'1_MODEL_assumptions'!$G107</f>
        <v>0</v>
      </c>
      <c r="AA50" s="7">
        <f>AA17*'1_MODEL_assumptions'!$G107</f>
        <v>0</v>
      </c>
      <c r="AB50" s="7">
        <f>AB17*'1_MODEL_assumptions'!$G107</f>
        <v>0</v>
      </c>
      <c r="AC50" s="7">
        <f>AC17*'1_MODEL_assumptions'!$G107</f>
        <v>0</v>
      </c>
    </row>
    <row r="51" spans="1:29" s="30" customFormat="1" x14ac:dyDescent="0.3">
      <c r="A51" s="31"/>
      <c r="B51" s="31"/>
      <c r="C51" s="31"/>
      <c r="D51" s="30" t="str">
        <f>'1_MODEL_assumptions'!D108</f>
        <v>Reefer Plugs, Electric</v>
      </c>
      <c r="E51" s="30" t="s">
        <v>105</v>
      </c>
      <c r="G51" s="6">
        <f t="shared" si="3"/>
        <v>92970818.049999982</v>
      </c>
      <c r="I51" s="7">
        <f>I18*'1_MODEL_assumptions'!$G108</f>
        <v>1727012.1</v>
      </c>
      <c r="J51" s="7">
        <f>J18*'1_MODEL_assumptions'!$G108</f>
        <v>3741859.5500000003</v>
      </c>
      <c r="K51" s="7">
        <f>K18*'1_MODEL_assumptions'!$G108</f>
        <v>4605365.6000000006</v>
      </c>
      <c r="L51" s="7">
        <f>L18*'1_MODEL_assumptions'!$G108</f>
        <v>4605365.6000000006</v>
      </c>
      <c r="M51" s="7">
        <f>M18*'1_MODEL_assumptions'!$G108</f>
        <v>4605365.6000000006</v>
      </c>
      <c r="N51" s="7">
        <f>N18*'1_MODEL_assumptions'!$G108</f>
        <v>4605365.6000000006</v>
      </c>
      <c r="O51" s="7">
        <f>O18*'1_MODEL_assumptions'!$G108</f>
        <v>4605365.6000000006</v>
      </c>
      <c r="P51" s="7">
        <f>P18*'1_MODEL_assumptions'!$G108</f>
        <v>4605365.6000000006</v>
      </c>
      <c r="Q51" s="7">
        <f>Q18*'1_MODEL_assumptions'!$G108</f>
        <v>4605365.6000000006</v>
      </c>
      <c r="R51" s="7">
        <f>R18*'1_MODEL_assumptions'!$G108</f>
        <v>4605365.6000000006</v>
      </c>
      <c r="S51" s="7">
        <f>S18*'1_MODEL_assumptions'!$G108</f>
        <v>4605365.6000000006</v>
      </c>
      <c r="T51" s="7">
        <f>T18*'1_MODEL_assumptions'!$G108</f>
        <v>4605365.6000000006</v>
      </c>
      <c r="U51" s="7">
        <f>U18*'1_MODEL_assumptions'!$G108</f>
        <v>4605365.6000000006</v>
      </c>
      <c r="V51" s="7">
        <f>V18*'1_MODEL_assumptions'!$G108</f>
        <v>4605365.6000000006</v>
      </c>
      <c r="W51" s="7">
        <f>W18*'1_MODEL_assumptions'!$G108</f>
        <v>4605365.6000000006</v>
      </c>
      <c r="X51" s="7">
        <f>X18*'1_MODEL_assumptions'!$G108</f>
        <v>4605365.6000000006</v>
      </c>
      <c r="Y51" s="7">
        <f>Y18*'1_MODEL_assumptions'!$G108</f>
        <v>4605365.6000000006</v>
      </c>
      <c r="Z51" s="7">
        <f>Z18*'1_MODEL_assumptions'!$G108</f>
        <v>4605365.6000000006</v>
      </c>
      <c r="AA51" s="7">
        <f>AA18*'1_MODEL_assumptions'!$G108</f>
        <v>4605365.6000000006</v>
      </c>
      <c r="AB51" s="7">
        <f>AB18*'1_MODEL_assumptions'!$G108</f>
        <v>4605365.6000000006</v>
      </c>
      <c r="AC51" s="7">
        <f>AC18*'1_MODEL_assumptions'!$G108</f>
        <v>4605365.6000000006</v>
      </c>
    </row>
    <row r="52" spans="1:29" s="30" customFormat="1" x14ac:dyDescent="0.3">
      <c r="A52" s="31"/>
      <c r="B52" s="31"/>
      <c r="C52" s="31"/>
      <c r="G52" s="41"/>
      <c r="I52" s="7"/>
    </row>
    <row r="53" spans="1:29" s="31" customFormat="1" x14ac:dyDescent="0.3">
      <c r="D53" s="31" t="s">
        <v>294</v>
      </c>
      <c r="E53" s="31" t="str">
        <f>E50</f>
        <v>gal/yr</v>
      </c>
      <c r="G53" s="16">
        <f>SUM(I53:AC53)</f>
        <v>6412128.6155555565</v>
      </c>
      <c r="I53" s="57">
        <f t="shared" ref="I53:R54" si="4">SUMIF($E$38:$E$51,$E53,I$38:I$51)</f>
        <v>666624.75555555557</v>
      </c>
      <c r="J53" s="57">
        <f t="shared" si="4"/>
        <v>413728.92666666664</v>
      </c>
      <c r="K53" s="57">
        <f t="shared" si="4"/>
        <v>280619.73333333328</v>
      </c>
      <c r="L53" s="57">
        <f t="shared" si="4"/>
        <v>280619.73333333328</v>
      </c>
      <c r="M53" s="57">
        <f t="shared" si="4"/>
        <v>280619.73333333328</v>
      </c>
      <c r="N53" s="57">
        <f t="shared" si="4"/>
        <v>280619.73333333328</v>
      </c>
      <c r="O53" s="57">
        <f t="shared" si="4"/>
        <v>280619.73333333328</v>
      </c>
      <c r="P53" s="57">
        <f t="shared" si="4"/>
        <v>280619.73333333328</v>
      </c>
      <c r="Q53" s="57">
        <f t="shared" si="4"/>
        <v>280619.73333333328</v>
      </c>
      <c r="R53" s="57">
        <f t="shared" si="4"/>
        <v>280619.73333333328</v>
      </c>
      <c r="S53" s="57">
        <f t="shared" ref="S53:AC54" si="5">SUMIF($E$38:$E$51,$E53,S$38:S$51)</f>
        <v>280619.73333333328</v>
      </c>
      <c r="T53" s="57">
        <f t="shared" si="5"/>
        <v>280619.73333333328</v>
      </c>
      <c r="U53" s="57">
        <f t="shared" si="5"/>
        <v>280619.73333333328</v>
      </c>
      <c r="V53" s="57">
        <f t="shared" si="5"/>
        <v>280619.73333333328</v>
      </c>
      <c r="W53" s="57">
        <f t="shared" si="5"/>
        <v>280619.73333333328</v>
      </c>
      <c r="X53" s="57">
        <f t="shared" si="5"/>
        <v>280619.73333333328</v>
      </c>
      <c r="Y53" s="57">
        <f t="shared" si="5"/>
        <v>280619.73333333328</v>
      </c>
      <c r="Z53" s="57">
        <f t="shared" si="5"/>
        <v>280619.73333333328</v>
      </c>
      <c r="AA53" s="57">
        <f t="shared" si="5"/>
        <v>280619.73333333328</v>
      </c>
      <c r="AB53" s="57">
        <f t="shared" si="5"/>
        <v>280619.73333333328</v>
      </c>
      <c r="AC53" s="57">
        <f t="shared" si="5"/>
        <v>280619.73333333328</v>
      </c>
    </row>
    <row r="54" spans="1:29" s="31" customFormat="1" x14ac:dyDescent="0.3">
      <c r="D54" s="31" t="s">
        <v>295</v>
      </c>
      <c r="E54" s="31" t="str">
        <f>E51</f>
        <v>kWh/yr</v>
      </c>
      <c r="G54" s="16">
        <f>SUM(I54:AC54)</f>
        <v>126694347.46176477</v>
      </c>
      <c r="I54" s="57">
        <f t="shared" si="4"/>
        <v>1859765.0411764707</v>
      </c>
      <c r="J54" s="57">
        <f t="shared" si="4"/>
        <v>4732510.5303921569</v>
      </c>
      <c r="K54" s="57">
        <f t="shared" si="4"/>
        <v>6321161.6784313731</v>
      </c>
      <c r="L54" s="57">
        <f t="shared" si="4"/>
        <v>6321161.6784313731</v>
      </c>
      <c r="M54" s="57">
        <f t="shared" si="4"/>
        <v>6321161.6784313731</v>
      </c>
      <c r="N54" s="57">
        <f t="shared" si="4"/>
        <v>6321161.6784313731</v>
      </c>
      <c r="O54" s="57">
        <f t="shared" si="4"/>
        <v>6321161.6784313731</v>
      </c>
      <c r="P54" s="57">
        <f t="shared" si="4"/>
        <v>6321161.6784313731</v>
      </c>
      <c r="Q54" s="57">
        <f t="shared" si="4"/>
        <v>6321161.6784313731</v>
      </c>
      <c r="R54" s="57">
        <f t="shared" si="4"/>
        <v>6321161.6784313731</v>
      </c>
      <c r="S54" s="57">
        <f t="shared" si="5"/>
        <v>6321161.6784313731</v>
      </c>
      <c r="T54" s="57">
        <f t="shared" si="5"/>
        <v>6321161.6784313731</v>
      </c>
      <c r="U54" s="57">
        <f t="shared" si="5"/>
        <v>6321161.6784313731</v>
      </c>
      <c r="V54" s="57">
        <f t="shared" si="5"/>
        <v>6321161.6784313731</v>
      </c>
      <c r="W54" s="57">
        <f t="shared" si="5"/>
        <v>6321161.6784313731</v>
      </c>
      <c r="X54" s="57">
        <f t="shared" si="5"/>
        <v>6321161.6784313731</v>
      </c>
      <c r="Y54" s="57">
        <f t="shared" si="5"/>
        <v>6321161.6784313731</v>
      </c>
      <c r="Z54" s="57">
        <f t="shared" si="5"/>
        <v>6321161.6784313731</v>
      </c>
      <c r="AA54" s="57">
        <f t="shared" si="5"/>
        <v>6321161.6784313731</v>
      </c>
      <c r="AB54" s="57">
        <f t="shared" si="5"/>
        <v>6321161.6784313731</v>
      </c>
      <c r="AC54" s="57">
        <f t="shared" si="5"/>
        <v>6321161.6784313731</v>
      </c>
    </row>
    <row r="55" spans="1:29" s="30" customFormat="1" x14ac:dyDescent="0.3">
      <c r="A55" s="31"/>
      <c r="B55" s="31"/>
      <c r="C55" s="31"/>
    </row>
    <row r="56" spans="1:29" s="30" customFormat="1" x14ac:dyDescent="0.3">
      <c r="A56" s="31"/>
      <c r="B56" s="31"/>
      <c r="C56" s="31"/>
    </row>
    <row r="57" spans="1:29" s="30" customFormat="1" ht="14.4" customHeight="1" x14ac:dyDescent="0.3">
      <c r="A57" s="31"/>
      <c r="B57" s="31"/>
      <c r="C57" s="31"/>
      <c r="D57" s="31" t="s">
        <v>260</v>
      </c>
    </row>
    <row r="58" spans="1:29" s="30" customFormat="1" x14ac:dyDescent="0.3">
      <c r="A58" s="31"/>
      <c r="B58" s="31"/>
      <c r="C58" s="31"/>
      <c r="D58" s="30" t="str">
        <f t="shared" ref="D58:E71" si="6">D38</f>
        <v>Top Pick</v>
      </c>
      <c r="E58" s="30" t="str">
        <f t="shared" si="6"/>
        <v>gal/yr</v>
      </c>
      <c r="G58" s="6">
        <f t="shared" ref="G58:G70" si="7">SUM(I58:AC58)</f>
        <v>7277087.9999999972</v>
      </c>
      <c r="I58" s="7">
        <f>I21*'1_MODEL_assumptions'!$G95</f>
        <v>326726.39999999997</v>
      </c>
      <c r="J58" s="7">
        <f>J21*'1_MODEL_assumptions'!$G95</f>
        <v>326726.39999999997</v>
      </c>
      <c r="K58" s="7">
        <f>K21*'1_MODEL_assumptions'!$G95</f>
        <v>326726.39999999997</v>
      </c>
      <c r="L58" s="7">
        <f>L21*'1_MODEL_assumptions'!$G95</f>
        <v>326726.39999999997</v>
      </c>
      <c r="M58" s="7">
        <f>M21*'1_MODEL_assumptions'!$G95</f>
        <v>326726.39999999997</v>
      </c>
      <c r="N58" s="7">
        <f>N21*'1_MODEL_assumptions'!$G95</f>
        <v>326726.39999999997</v>
      </c>
      <c r="O58" s="7">
        <f>O21*'1_MODEL_assumptions'!$G95</f>
        <v>326726.39999999997</v>
      </c>
      <c r="P58" s="7">
        <f>P21*'1_MODEL_assumptions'!$G95</f>
        <v>356428.79999999999</v>
      </c>
      <c r="Q58" s="7">
        <f>Q21*'1_MODEL_assumptions'!$G95</f>
        <v>356428.79999999999</v>
      </c>
      <c r="R58" s="7">
        <f>R21*'1_MODEL_assumptions'!$G95</f>
        <v>356428.79999999999</v>
      </c>
      <c r="S58" s="7">
        <f>S21*'1_MODEL_assumptions'!$G95</f>
        <v>356428.79999999999</v>
      </c>
      <c r="T58" s="7">
        <f>T21*'1_MODEL_assumptions'!$G95</f>
        <v>356428.79999999999</v>
      </c>
      <c r="U58" s="7">
        <f>U21*'1_MODEL_assumptions'!$G95</f>
        <v>356428.79999999999</v>
      </c>
      <c r="V58" s="7">
        <f>V21*'1_MODEL_assumptions'!$G95</f>
        <v>356428.79999999999</v>
      </c>
      <c r="W58" s="7">
        <f>W21*'1_MODEL_assumptions'!$G95</f>
        <v>356428.79999999999</v>
      </c>
      <c r="X58" s="7">
        <f>X21*'1_MODEL_assumptions'!$G95</f>
        <v>356428.79999999999</v>
      </c>
      <c r="Y58" s="7">
        <f>Y21*'1_MODEL_assumptions'!$G95</f>
        <v>356428.79999999999</v>
      </c>
      <c r="Z58" s="7">
        <f>Z21*'1_MODEL_assumptions'!$G95</f>
        <v>356428.79999999999</v>
      </c>
      <c r="AA58" s="7">
        <f>AA21*'1_MODEL_assumptions'!$G95</f>
        <v>356428.79999999999</v>
      </c>
      <c r="AB58" s="7">
        <f>AB21*'1_MODEL_assumptions'!$G95</f>
        <v>356428.79999999999</v>
      </c>
      <c r="AC58" s="7">
        <f>AC21*'1_MODEL_assumptions'!$G95</f>
        <v>356428.79999999999</v>
      </c>
    </row>
    <row r="59" spans="1:29" s="30" customFormat="1" x14ac:dyDescent="0.3">
      <c r="A59" s="31"/>
      <c r="B59" s="31"/>
      <c r="C59" s="31"/>
      <c r="D59" s="30" t="str">
        <f t="shared" si="6"/>
        <v>RTGs, Hybrid</v>
      </c>
      <c r="E59" s="30" t="str">
        <f t="shared" si="6"/>
        <v>gal/yr</v>
      </c>
      <c r="G59" s="6">
        <f t="shared" si="7"/>
        <v>0</v>
      </c>
      <c r="I59" s="7">
        <f>I22*'1_MODEL_assumptions'!$G96</f>
        <v>0</v>
      </c>
      <c r="J59" s="7">
        <f>J22*'1_MODEL_assumptions'!$G96</f>
        <v>0</v>
      </c>
      <c r="K59" s="7">
        <f>K22*'1_MODEL_assumptions'!$G96</f>
        <v>0</v>
      </c>
      <c r="L59" s="7">
        <f>L22*'1_MODEL_assumptions'!$G96</f>
        <v>0</v>
      </c>
      <c r="M59" s="7">
        <f>M22*'1_MODEL_assumptions'!$G96</f>
        <v>0</v>
      </c>
      <c r="N59" s="7">
        <f>N22*'1_MODEL_assumptions'!$G96</f>
        <v>0</v>
      </c>
      <c r="O59" s="7">
        <f>O22*'1_MODEL_assumptions'!$G96</f>
        <v>0</v>
      </c>
      <c r="P59" s="7">
        <f>P22*'1_MODEL_assumptions'!$G96</f>
        <v>0</v>
      </c>
      <c r="Q59" s="7">
        <f>Q22*'1_MODEL_assumptions'!$G96</f>
        <v>0</v>
      </c>
      <c r="R59" s="7">
        <f>R22*'1_MODEL_assumptions'!$G96</f>
        <v>0</v>
      </c>
      <c r="S59" s="7">
        <f>S22*'1_MODEL_assumptions'!$G96</f>
        <v>0</v>
      </c>
      <c r="T59" s="7">
        <f>T22*'1_MODEL_assumptions'!$G96</f>
        <v>0</v>
      </c>
      <c r="U59" s="7">
        <f>U22*'1_MODEL_assumptions'!$G96</f>
        <v>0</v>
      </c>
      <c r="V59" s="7">
        <f>V22*'1_MODEL_assumptions'!$G96</f>
        <v>0</v>
      </c>
      <c r="W59" s="7">
        <f>W22*'1_MODEL_assumptions'!$G96</f>
        <v>0</v>
      </c>
      <c r="X59" s="7">
        <f>X22*'1_MODEL_assumptions'!$G96</f>
        <v>0</v>
      </c>
      <c r="Y59" s="7">
        <f>Y22*'1_MODEL_assumptions'!$G96</f>
        <v>0</v>
      </c>
      <c r="Z59" s="7">
        <f>Z22*'1_MODEL_assumptions'!$G96</f>
        <v>0</v>
      </c>
      <c r="AA59" s="7">
        <f>AA22*'1_MODEL_assumptions'!$G96</f>
        <v>0</v>
      </c>
      <c r="AB59" s="7">
        <f>AB22*'1_MODEL_assumptions'!$G96</f>
        <v>0</v>
      </c>
      <c r="AC59" s="7">
        <f>AC22*'1_MODEL_assumptions'!$G96</f>
        <v>0</v>
      </c>
    </row>
    <row r="60" spans="1:29" s="30" customFormat="1" x14ac:dyDescent="0.3">
      <c r="A60" s="31"/>
      <c r="B60" s="31"/>
      <c r="C60" s="31"/>
      <c r="D60" s="30" t="str">
        <f t="shared" si="6"/>
        <v>Forklift, 10000 lb, Diesel</v>
      </c>
      <c r="E60" s="30" t="str">
        <f t="shared" si="6"/>
        <v>gal/yr</v>
      </c>
      <c r="G60" s="6">
        <f t="shared" si="7"/>
        <v>458640</v>
      </c>
      <c r="I60" s="7">
        <f>I23*'1_MODEL_assumptions'!$G97</f>
        <v>21840</v>
      </c>
      <c r="J60" s="7">
        <f>J23*'1_MODEL_assumptions'!$G97</f>
        <v>21840</v>
      </c>
      <c r="K60" s="7">
        <f>K23*'1_MODEL_assumptions'!$G97</f>
        <v>21840</v>
      </c>
      <c r="L60" s="7">
        <f>L23*'1_MODEL_assumptions'!$G97</f>
        <v>21840</v>
      </c>
      <c r="M60" s="7">
        <f>M23*'1_MODEL_assumptions'!$G97</f>
        <v>21840</v>
      </c>
      <c r="N60" s="7">
        <f>N23*'1_MODEL_assumptions'!$G97</f>
        <v>21840</v>
      </c>
      <c r="O60" s="7">
        <f>O23*'1_MODEL_assumptions'!$G97</f>
        <v>21840</v>
      </c>
      <c r="P60" s="7">
        <f>P23*'1_MODEL_assumptions'!$G97</f>
        <v>21840</v>
      </c>
      <c r="Q60" s="7">
        <f>Q23*'1_MODEL_assumptions'!$G97</f>
        <v>21840</v>
      </c>
      <c r="R60" s="7">
        <f>R23*'1_MODEL_assumptions'!$G97</f>
        <v>21840</v>
      </c>
      <c r="S60" s="7">
        <f>S23*'1_MODEL_assumptions'!$G97</f>
        <v>21840</v>
      </c>
      <c r="T60" s="7">
        <f>T23*'1_MODEL_assumptions'!$G97</f>
        <v>21840</v>
      </c>
      <c r="U60" s="7">
        <f>U23*'1_MODEL_assumptions'!$G97</f>
        <v>21840</v>
      </c>
      <c r="V60" s="7">
        <f>V23*'1_MODEL_assumptions'!$G97</f>
        <v>21840</v>
      </c>
      <c r="W60" s="7">
        <f>W23*'1_MODEL_assumptions'!$G97</f>
        <v>21840</v>
      </c>
      <c r="X60" s="7">
        <f>X23*'1_MODEL_assumptions'!$G97</f>
        <v>21840</v>
      </c>
      <c r="Y60" s="7">
        <f>Y23*'1_MODEL_assumptions'!$G97</f>
        <v>21840</v>
      </c>
      <c r="Z60" s="7">
        <f>Z23*'1_MODEL_assumptions'!$G97</f>
        <v>21840</v>
      </c>
      <c r="AA60" s="7">
        <f>AA23*'1_MODEL_assumptions'!$G97</f>
        <v>21840</v>
      </c>
      <c r="AB60" s="7">
        <f>AB23*'1_MODEL_assumptions'!$G97</f>
        <v>21840</v>
      </c>
      <c r="AC60" s="7">
        <f>AC23*'1_MODEL_assumptions'!$G97</f>
        <v>21840</v>
      </c>
    </row>
    <row r="61" spans="1:29" s="30" customFormat="1" x14ac:dyDescent="0.3">
      <c r="A61" s="31"/>
      <c r="B61" s="31"/>
      <c r="C61" s="31"/>
      <c r="D61" s="30" t="str">
        <f t="shared" si="6"/>
        <v>Forklift, 10000 lb, electric</v>
      </c>
      <c r="E61" s="30" t="str">
        <f t="shared" si="6"/>
        <v>kWh/yr</v>
      </c>
      <c r="G61" s="6">
        <f t="shared" si="7"/>
        <v>0</v>
      </c>
      <c r="I61" s="7">
        <f>I24*'1_MODEL_assumptions'!$G98</f>
        <v>0</v>
      </c>
      <c r="J61" s="7">
        <f>J24*'1_MODEL_assumptions'!$G98</f>
        <v>0</v>
      </c>
      <c r="K61" s="7">
        <f>K24*'1_MODEL_assumptions'!$G98</f>
        <v>0</v>
      </c>
      <c r="L61" s="7">
        <f>L24*'1_MODEL_assumptions'!$G98</f>
        <v>0</v>
      </c>
      <c r="M61" s="7">
        <f>M24*'1_MODEL_assumptions'!$G98</f>
        <v>0</v>
      </c>
      <c r="N61" s="7">
        <f>N24*'1_MODEL_assumptions'!$G98</f>
        <v>0</v>
      </c>
      <c r="O61" s="7">
        <f>O24*'1_MODEL_assumptions'!$G98</f>
        <v>0</v>
      </c>
      <c r="P61" s="7">
        <f>P24*'1_MODEL_assumptions'!$G98</f>
        <v>0</v>
      </c>
      <c r="Q61" s="7">
        <f>Q24*'1_MODEL_assumptions'!$G98</f>
        <v>0</v>
      </c>
      <c r="R61" s="7">
        <f>R24*'1_MODEL_assumptions'!$G98</f>
        <v>0</v>
      </c>
      <c r="S61" s="7">
        <f>S24*'1_MODEL_assumptions'!$G98</f>
        <v>0</v>
      </c>
      <c r="T61" s="7">
        <f>T24*'1_MODEL_assumptions'!$G98</f>
        <v>0</v>
      </c>
      <c r="U61" s="7">
        <f>U24*'1_MODEL_assumptions'!$G98</f>
        <v>0</v>
      </c>
      <c r="V61" s="7">
        <f>V24*'1_MODEL_assumptions'!$G98</f>
        <v>0</v>
      </c>
      <c r="W61" s="7">
        <f>W24*'1_MODEL_assumptions'!$G98</f>
        <v>0</v>
      </c>
      <c r="X61" s="7">
        <f>X24*'1_MODEL_assumptions'!$G98</f>
        <v>0</v>
      </c>
      <c r="Y61" s="7">
        <f>Y24*'1_MODEL_assumptions'!$G98</f>
        <v>0</v>
      </c>
      <c r="Z61" s="7">
        <f>Z24*'1_MODEL_assumptions'!$G98</f>
        <v>0</v>
      </c>
      <c r="AA61" s="7">
        <f>AA24*'1_MODEL_assumptions'!$G98</f>
        <v>0</v>
      </c>
      <c r="AB61" s="7">
        <f>AB24*'1_MODEL_assumptions'!$G98</f>
        <v>0</v>
      </c>
      <c r="AC61" s="7">
        <f>AC24*'1_MODEL_assumptions'!$G98</f>
        <v>0</v>
      </c>
    </row>
    <row r="62" spans="1:29" s="30" customFormat="1" x14ac:dyDescent="0.3">
      <c r="A62" s="31"/>
      <c r="B62" s="31"/>
      <c r="C62" s="31"/>
      <c r="D62" s="30" t="str">
        <f t="shared" si="6"/>
        <v>Forklift, 18000 lb, Diesel</v>
      </c>
      <c r="E62" s="30" t="str">
        <f t="shared" si="6"/>
        <v>gal/yr</v>
      </c>
      <c r="G62" s="6">
        <f t="shared" si="7"/>
        <v>764399.99999999988</v>
      </c>
      <c r="I62" s="7">
        <f>I25*'1_MODEL_assumptions'!$G99</f>
        <v>36399.999999999993</v>
      </c>
      <c r="J62" s="7">
        <f>J25*'1_MODEL_assumptions'!$G99</f>
        <v>36399.999999999993</v>
      </c>
      <c r="K62" s="7">
        <f>K25*'1_MODEL_assumptions'!$G99</f>
        <v>36399.999999999993</v>
      </c>
      <c r="L62" s="7">
        <f>L25*'1_MODEL_assumptions'!$G99</f>
        <v>36399.999999999993</v>
      </c>
      <c r="M62" s="7">
        <f>M25*'1_MODEL_assumptions'!$G99</f>
        <v>36399.999999999993</v>
      </c>
      <c r="N62" s="7">
        <f>N25*'1_MODEL_assumptions'!$G99</f>
        <v>36399.999999999993</v>
      </c>
      <c r="O62" s="7">
        <f>O25*'1_MODEL_assumptions'!$G99</f>
        <v>36399.999999999993</v>
      </c>
      <c r="P62" s="7">
        <f>P25*'1_MODEL_assumptions'!$G99</f>
        <v>36399.999999999993</v>
      </c>
      <c r="Q62" s="7">
        <f>Q25*'1_MODEL_assumptions'!$G99</f>
        <v>36399.999999999993</v>
      </c>
      <c r="R62" s="7">
        <f>R25*'1_MODEL_assumptions'!$G99</f>
        <v>36399.999999999993</v>
      </c>
      <c r="S62" s="7">
        <f>S25*'1_MODEL_assumptions'!$G99</f>
        <v>36399.999999999993</v>
      </c>
      <c r="T62" s="7">
        <f>T25*'1_MODEL_assumptions'!$G99</f>
        <v>36399.999999999993</v>
      </c>
      <c r="U62" s="7">
        <f>U25*'1_MODEL_assumptions'!$G99</f>
        <v>36399.999999999993</v>
      </c>
      <c r="V62" s="7">
        <f>V25*'1_MODEL_assumptions'!$G99</f>
        <v>36399.999999999993</v>
      </c>
      <c r="W62" s="7">
        <f>W25*'1_MODEL_assumptions'!$G99</f>
        <v>36399.999999999993</v>
      </c>
      <c r="X62" s="7">
        <f>X25*'1_MODEL_assumptions'!$G99</f>
        <v>36399.999999999993</v>
      </c>
      <c r="Y62" s="7">
        <f>Y25*'1_MODEL_assumptions'!$G99</f>
        <v>36399.999999999993</v>
      </c>
      <c r="Z62" s="7">
        <f>Z25*'1_MODEL_assumptions'!$G99</f>
        <v>36399.999999999993</v>
      </c>
      <c r="AA62" s="7">
        <f>AA25*'1_MODEL_assumptions'!$G99</f>
        <v>36399.999999999993</v>
      </c>
      <c r="AB62" s="7">
        <f>AB25*'1_MODEL_assumptions'!$G99</f>
        <v>36399.999999999993</v>
      </c>
      <c r="AC62" s="7">
        <f>AC25*'1_MODEL_assumptions'!$G99</f>
        <v>36399.999999999993</v>
      </c>
    </row>
    <row r="63" spans="1:29" s="30" customFormat="1" x14ac:dyDescent="0.3">
      <c r="A63" s="31"/>
      <c r="B63" s="31"/>
      <c r="C63" s="31"/>
      <c r="D63" s="30" t="str">
        <f t="shared" si="6"/>
        <v>Forklift, 18000 lb, electric</v>
      </c>
      <c r="E63" s="30" t="str">
        <f t="shared" si="6"/>
        <v>kWh/yr</v>
      </c>
      <c r="G63" s="6">
        <f t="shared" si="7"/>
        <v>0</v>
      </c>
      <c r="I63" s="7">
        <f>I26*'1_MODEL_assumptions'!$G100</f>
        <v>0</v>
      </c>
      <c r="J63" s="7">
        <f>J26*'1_MODEL_assumptions'!$G100</f>
        <v>0</v>
      </c>
      <c r="K63" s="7">
        <f>K26*'1_MODEL_assumptions'!$G100</f>
        <v>0</v>
      </c>
      <c r="L63" s="7">
        <f>L26*'1_MODEL_assumptions'!$G100</f>
        <v>0</v>
      </c>
      <c r="M63" s="7">
        <f>M26*'1_MODEL_assumptions'!$G100</f>
        <v>0</v>
      </c>
      <c r="N63" s="7">
        <f>N26*'1_MODEL_assumptions'!$G100</f>
        <v>0</v>
      </c>
      <c r="O63" s="7">
        <f>O26*'1_MODEL_assumptions'!$G100</f>
        <v>0</v>
      </c>
      <c r="P63" s="7">
        <f>P26*'1_MODEL_assumptions'!$G100</f>
        <v>0</v>
      </c>
      <c r="Q63" s="7">
        <f>Q26*'1_MODEL_assumptions'!$G100</f>
        <v>0</v>
      </c>
      <c r="R63" s="7">
        <f>R26*'1_MODEL_assumptions'!$G100</f>
        <v>0</v>
      </c>
      <c r="S63" s="7">
        <f>S26*'1_MODEL_assumptions'!$G100</f>
        <v>0</v>
      </c>
      <c r="T63" s="7">
        <f>T26*'1_MODEL_assumptions'!$G100</f>
        <v>0</v>
      </c>
      <c r="U63" s="7">
        <f>U26*'1_MODEL_assumptions'!$G100</f>
        <v>0</v>
      </c>
      <c r="V63" s="7">
        <f>V26*'1_MODEL_assumptions'!$G100</f>
        <v>0</v>
      </c>
      <c r="W63" s="7">
        <f>W26*'1_MODEL_assumptions'!$G100</f>
        <v>0</v>
      </c>
      <c r="X63" s="7">
        <f>X26*'1_MODEL_assumptions'!$G100</f>
        <v>0</v>
      </c>
      <c r="Y63" s="7">
        <f>Y26*'1_MODEL_assumptions'!$G100</f>
        <v>0</v>
      </c>
      <c r="Z63" s="7">
        <f>Z26*'1_MODEL_assumptions'!$G100</f>
        <v>0</v>
      </c>
      <c r="AA63" s="7">
        <f>AA26*'1_MODEL_assumptions'!$G100</f>
        <v>0</v>
      </c>
      <c r="AB63" s="7">
        <f>AB26*'1_MODEL_assumptions'!$G100</f>
        <v>0</v>
      </c>
      <c r="AC63" s="7">
        <f>AC26*'1_MODEL_assumptions'!$G100</f>
        <v>0</v>
      </c>
    </row>
    <row r="64" spans="1:29" s="30" customFormat="1" x14ac:dyDescent="0.3">
      <c r="A64" s="31"/>
      <c r="B64" s="31"/>
      <c r="C64" s="31"/>
      <c r="D64" s="30" t="str">
        <f t="shared" si="6"/>
        <v>Forklift, 36000 lb, diesel</v>
      </c>
      <c r="E64" s="30" t="str">
        <f t="shared" si="6"/>
        <v>gal/yr</v>
      </c>
      <c r="G64" s="6">
        <f t="shared" si="7"/>
        <v>886704</v>
      </c>
      <c r="I64" s="7">
        <f>I27*'1_MODEL_assumptions'!$G101</f>
        <v>42224</v>
      </c>
      <c r="J64" s="7">
        <f>J27*'1_MODEL_assumptions'!$G101</f>
        <v>42224</v>
      </c>
      <c r="K64" s="7">
        <f>K27*'1_MODEL_assumptions'!$G101</f>
        <v>42224</v>
      </c>
      <c r="L64" s="7">
        <f>L27*'1_MODEL_assumptions'!$G101</f>
        <v>42224</v>
      </c>
      <c r="M64" s="7">
        <f>M27*'1_MODEL_assumptions'!$G101</f>
        <v>42224</v>
      </c>
      <c r="N64" s="7">
        <f>N27*'1_MODEL_assumptions'!$G101</f>
        <v>42224</v>
      </c>
      <c r="O64" s="7">
        <f>O27*'1_MODEL_assumptions'!$G101</f>
        <v>42224</v>
      </c>
      <c r="P64" s="7">
        <f>P27*'1_MODEL_assumptions'!$G101</f>
        <v>42224</v>
      </c>
      <c r="Q64" s="7">
        <f>Q27*'1_MODEL_assumptions'!$G101</f>
        <v>42224</v>
      </c>
      <c r="R64" s="7">
        <f>R27*'1_MODEL_assumptions'!$G101</f>
        <v>42224</v>
      </c>
      <c r="S64" s="7">
        <f>S27*'1_MODEL_assumptions'!$G101</f>
        <v>42224</v>
      </c>
      <c r="T64" s="7">
        <f>T27*'1_MODEL_assumptions'!$G101</f>
        <v>42224</v>
      </c>
      <c r="U64" s="7">
        <f>U27*'1_MODEL_assumptions'!$G101</f>
        <v>42224</v>
      </c>
      <c r="V64" s="7">
        <f>V27*'1_MODEL_assumptions'!$G101</f>
        <v>42224</v>
      </c>
      <c r="W64" s="7">
        <f>W27*'1_MODEL_assumptions'!$G101</f>
        <v>42224</v>
      </c>
      <c r="X64" s="7">
        <f>X27*'1_MODEL_assumptions'!$G101</f>
        <v>42224</v>
      </c>
      <c r="Y64" s="7">
        <f>Y27*'1_MODEL_assumptions'!$G101</f>
        <v>42224</v>
      </c>
      <c r="Z64" s="7">
        <f>Z27*'1_MODEL_assumptions'!$G101</f>
        <v>42224</v>
      </c>
      <c r="AA64" s="7">
        <f>AA27*'1_MODEL_assumptions'!$G101</f>
        <v>42224</v>
      </c>
      <c r="AB64" s="7">
        <f>AB27*'1_MODEL_assumptions'!$G101</f>
        <v>42224</v>
      </c>
      <c r="AC64" s="7">
        <f>AC27*'1_MODEL_assumptions'!$G101</f>
        <v>42224</v>
      </c>
    </row>
    <row r="65" spans="1:29" s="30" customFormat="1" x14ac:dyDescent="0.3">
      <c r="A65" s="31"/>
      <c r="B65" s="31"/>
      <c r="C65" s="31"/>
      <c r="D65" s="30" t="str">
        <f t="shared" si="6"/>
        <v>Forklift, 36000 lb, electric</v>
      </c>
      <c r="E65" s="30" t="str">
        <f t="shared" si="6"/>
        <v>kWh/yr</v>
      </c>
      <c r="G65" s="6">
        <f t="shared" si="7"/>
        <v>0</v>
      </c>
      <c r="I65" s="7">
        <f>I28*'1_MODEL_assumptions'!$G102</f>
        <v>0</v>
      </c>
      <c r="J65" s="7">
        <f>J28*'1_MODEL_assumptions'!$G102</f>
        <v>0</v>
      </c>
      <c r="K65" s="7">
        <f>K28*'1_MODEL_assumptions'!$G102</f>
        <v>0</v>
      </c>
      <c r="L65" s="7">
        <f>L28*'1_MODEL_assumptions'!$G102</f>
        <v>0</v>
      </c>
      <c r="M65" s="7">
        <f>M28*'1_MODEL_assumptions'!$G102</f>
        <v>0</v>
      </c>
      <c r="N65" s="7">
        <f>N28*'1_MODEL_assumptions'!$G102</f>
        <v>0</v>
      </c>
      <c r="O65" s="7">
        <f>O28*'1_MODEL_assumptions'!$G102</f>
        <v>0</v>
      </c>
      <c r="P65" s="7">
        <f>P28*'1_MODEL_assumptions'!$G102</f>
        <v>0</v>
      </c>
      <c r="Q65" s="7">
        <f>Q28*'1_MODEL_assumptions'!$G102</f>
        <v>0</v>
      </c>
      <c r="R65" s="7">
        <f>R28*'1_MODEL_assumptions'!$G102</f>
        <v>0</v>
      </c>
      <c r="S65" s="7">
        <f>S28*'1_MODEL_assumptions'!$G102</f>
        <v>0</v>
      </c>
      <c r="T65" s="7">
        <f>T28*'1_MODEL_assumptions'!$G102</f>
        <v>0</v>
      </c>
      <c r="U65" s="7">
        <f>U28*'1_MODEL_assumptions'!$G102</f>
        <v>0</v>
      </c>
      <c r="V65" s="7">
        <f>V28*'1_MODEL_assumptions'!$G102</f>
        <v>0</v>
      </c>
      <c r="W65" s="7">
        <f>W28*'1_MODEL_assumptions'!$G102</f>
        <v>0</v>
      </c>
      <c r="X65" s="7">
        <f>X28*'1_MODEL_assumptions'!$G102</f>
        <v>0</v>
      </c>
      <c r="Y65" s="7">
        <f>Y28*'1_MODEL_assumptions'!$G102</f>
        <v>0</v>
      </c>
      <c r="Z65" s="7">
        <f>Z28*'1_MODEL_assumptions'!$G102</f>
        <v>0</v>
      </c>
      <c r="AA65" s="7">
        <f>AA28*'1_MODEL_assumptions'!$G102</f>
        <v>0</v>
      </c>
      <c r="AB65" s="7">
        <f>AB28*'1_MODEL_assumptions'!$G102</f>
        <v>0</v>
      </c>
      <c r="AC65" s="7">
        <f>AC28*'1_MODEL_assumptions'!$G102</f>
        <v>0</v>
      </c>
    </row>
    <row r="66" spans="1:29" s="30" customFormat="1" x14ac:dyDescent="0.3">
      <c r="A66" s="31"/>
      <c r="B66" s="31"/>
      <c r="C66" s="31"/>
      <c r="D66" s="30" t="str">
        <f t="shared" si="6"/>
        <v>Yard Tractor, Diesel</v>
      </c>
      <c r="E66" s="30" t="str">
        <f t="shared" si="6"/>
        <v>gal/yr</v>
      </c>
      <c r="G66" s="6">
        <f t="shared" si="7"/>
        <v>1223040</v>
      </c>
      <c r="I66" s="7">
        <f>I29*'1_MODEL_assumptions'!$G103</f>
        <v>58240</v>
      </c>
      <c r="J66" s="7">
        <f>J29*'1_MODEL_assumptions'!$G103</f>
        <v>58240</v>
      </c>
      <c r="K66" s="7">
        <f>K29*'1_MODEL_assumptions'!$G103</f>
        <v>58240</v>
      </c>
      <c r="L66" s="7">
        <f>L29*'1_MODEL_assumptions'!$G103</f>
        <v>58240</v>
      </c>
      <c r="M66" s="7">
        <f>M29*'1_MODEL_assumptions'!$G103</f>
        <v>58240</v>
      </c>
      <c r="N66" s="7">
        <f>N29*'1_MODEL_assumptions'!$G103</f>
        <v>58240</v>
      </c>
      <c r="O66" s="7">
        <f>O29*'1_MODEL_assumptions'!$G103</f>
        <v>58240</v>
      </c>
      <c r="P66" s="7">
        <f>P29*'1_MODEL_assumptions'!$G103</f>
        <v>58240</v>
      </c>
      <c r="Q66" s="7">
        <f>Q29*'1_MODEL_assumptions'!$G103</f>
        <v>58240</v>
      </c>
      <c r="R66" s="7">
        <f>R29*'1_MODEL_assumptions'!$G103</f>
        <v>58240</v>
      </c>
      <c r="S66" s="7">
        <f>S29*'1_MODEL_assumptions'!$G103</f>
        <v>58240</v>
      </c>
      <c r="T66" s="7">
        <f>T29*'1_MODEL_assumptions'!$G103</f>
        <v>58240</v>
      </c>
      <c r="U66" s="7">
        <f>U29*'1_MODEL_assumptions'!$G103</f>
        <v>58240</v>
      </c>
      <c r="V66" s="7">
        <f>V29*'1_MODEL_assumptions'!$G103</f>
        <v>58240</v>
      </c>
      <c r="W66" s="7">
        <f>W29*'1_MODEL_assumptions'!$G103</f>
        <v>58240</v>
      </c>
      <c r="X66" s="7">
        <f>X29*'1_MODEL_assumptions'!$G103</f>
        <v>58240</v>
      </c>
      <c r="Y66" s="7">
        <f>Y29*'1_MODEL_assumptions'!$G103</f>
        <v>58240</v>
      </c>
      <c r="Z66" s="7">
        <f>Z29*'1_MODEL_assumptions'!$G103</f>
        <v>58240</v>
      </c>
      <c r="AA66" s="7">
        <f>AA29*'1_MODEL_assumptions'!$G103</f>
        <v>58240</v>
      </c>
      <c r="AB66" s="7">
        <f>AB29*'1_MODEL_assumptions'!$G103</f>
        <v>58240</v>
      </c>
      <c r="AC66" s="7">
        <f>AC29*'1_MODEL_assumptions'!$G103</f>
        <v>58240</v>
      </c>
    </row>
    <row r="67" spans="1:29" s="30" customFormat="1" x14ac:dyDescent="0.3">
      <c r="A67" s="31"/>
      <c r="B67" s="31"/>
      <c r="C67" s="31"/>
      <c r="D67" s="30" t="str">
        <f t="shared" si="6"/>
        <v>Yard Tractor, electric</v>
      </c>
      <c r="E67" s="30" t="str">
        <f t="shared" si="6"/>
        <v>kWh/yr</v>
      </c>
      <c r="G67" s="6">
        <f t="shared" si="7"/>
        <v>0</v>
      </c>
      <c r="I67" s="7">
        <f>I30*'1_MODEL_assumptions'!$G104</f>
        <v>0</v>
      </c>
      <c r="J67" s="7">
        <f>J30*'1_MODEL_assumptions'!$G104</f>
        <v>0</v>
      </c>
      <c r="K67" s="7">
        <f>K30*'1_MODEL_assumptions'!$G104</f>
        <v>0</v>
      </c>
      <c r="L67" s="7">
        <f>L30*'1_MODEL_assumptions'!$G104</f>
        <v>0</v>
      </c>
      <c r="M67" s="7">
        <f>M30*'1_MODEL_assumptions'!$G104</f>
        <v>0</v>
      </c>
      <c r="N67" s="7">
        <f>N30*'1_MODEL_assumptions'!$G104</f>
        <v>0</v>
      </c>
      <c r="O67" s="7">
        <f>O30*'1_MODEL_assumptions'!$G104</f>
        <v>0</v>
      </c>
      <c r="P67" s="7">
        <f>P30*'1_MODEL_assumptions'!$G104</f>
        <v>0</v>
      </c>
      <c r="Q67" s="7">
        <f>Q30*'1_MODEL_assumptions'!$G104</f>
        <v>0</v>
      </c>
      <c r="R67" s="7">
        <f>R30*'1_MODEL_assumptions'!$G104</f>
        <v>0</v>
      </c>
      <c r="S67" s="7">
        <f>S30*'1_MODEL_assumptions'!$G104</f>
        <v>0</v>
      </c>
      <c r="T67" s="7">
        <f>T30*'1_MODEL_assumptions'!$G104</f>
        <v>0</v>
      </c>
      <c r="U67" s="7">
        <f>U30*'1_MODEL_assumptions'!$G104</f>
        <v>0</v>
      </c>
      <c r="V67" s="7">
        <f>V30*'1_MODEL_assumptions'!$G104</f>
        <v>0</v>
      </c>
      <c r="W67" s="7">
        <f>W30*'1_MODEL_assumptions'!$G104</f>
        <v>0</v>
      </c>
      <c r="X67" s="7">
        <f>X30*'1_MODEL_assumptions'!$G104</f>
        <v>0</v>
      </c>
      <c r="Y67" s="7">
        <f>Y30*'1_MODEL_assumptions'!$G104</f>
        <v>0</v>
      </c>
      <c r="Z67" s="7">
        <f>Z30*'1_MODEL_assumptions'!$G104</f>
        <v>0</v>
      </c>
      <c r="AA67" s="7">
        <f>AA30*'1_MODEL_assumptions'!$G104</f>
        <v>0</v>
      </c>
      <c r="AB67" s="7">
        <f>AB30*'1_MODEL_assumptions'!$G104</f>
        <v>0</v>
      </c>
      <c r="AC67" s="7">
        <f>AC30*'1_MODEL_assumptions'!$G104</f>
        <v>0</v>
      </c>
    </row>
    <row r="68" spans="1:29" s="30" customFormat="1" x14ac:dyDescent="0.3">
      <c r="A68" s="31"/>
      <c r="B68" s="31"/>
      <c r="C68" s="31"/>
      <c r="D68" s="30" t="str">
        <f t="shared" si="6"/>
        <v>Reefer Power Packs, 30 plugs, dual engine, Tier 3, 400 HP CAT</v>
      </c>
      <c r="E68" s="30" t="str">
        <f t="shared" si="6"/>
        <v>gal/yr</v>
      </c>
      <c r="G68" s="6">
        <f t="shared" si="7"/>
        <v>745681.86000000045</v>
      </c>
      <c r="I68" s="7">
        <f>I31*'1_MODEL_assumptions'!$G105</f>
        <v>35508.660000000003</v>
      </c>
      <c r="J68" s="7">
        <f>J31*'1_MODEL_assumptions'!$G105</f>
        <v>35508.660000000003</v>
      </c>
      <c r="K68" s="7">
        <f>K31*'1_MODEL_assumptions'!$G105</f>
        <v>35508.660000000003</v>
      </c>
      <c r="L68" s="7">
        <f>L31*'1_MODEL_assumptions'!$G105</f>
        <v>35508.660000000003</v>
      </c>
      <c r="M68" s="7">
        <f>M31*'1_MODEL_assumptions'!$G105</f>
        <v>35508.660000000003</v>
      </c>
      <c r="N68" s="7">
        <f>N31*'1_MODEL_assumptions'!$G105</f>
        <v>35508.660000000003</v>
      </c>
      <c r="O68" s="7">
        <f>O31*'1_MODEL_assumptions'!$G105</f>
        <v>35508.660000000003</v>
      </c>
      <c r="P68" s="7">
        <f>P31*'1_MODEL_assumptions'!$G105</f>
        <v>35508.660000000003</v>
      </c>
      <c r="Q68" s="7">
        <f>Q31*'1_MODEL_assumptions'!$G105</f>
        <v>35508.660000000003</v>
      </c>
      <c r="R68" s="7">
        <f>R31*'1_MODEL_assumptions'!$G105</f>
        <v>35508.660000000003</v>
      </c>
      <c r="S68" s="7">
        <f>S31*'1_MODEL_assumptions'!$G105</f>
        <v>35508.660000000003</v>
      </c>
      <c r="T68" s="7">
        <f>T31*'1_MODEL_assumptions'!$G105</f>
        <v>35508.660000000003</v>
      </c>
      <c r="U68" s="7">
        <f>U31*'1_MODEL_assumptions'!$G105</f>
        <v>35508.660000000003</v>
      </c>
      <c r="V68" s="7">
        <f>V31*'1_MODEL_assumptions'!$G105</f>
        <v>35508.660000000003</v>
      </c>
      <c r="W68" s="7">
        <f>W31*'1_MODEL_assumptions'!$G105</f>
        <v>35508.660000000003</v>
      </c>
      <c r="X68" s="7">
        <f>X31*'1_MODEL_assumptions'!$G105</f>
        <v>35508.660000000003</v>
      </c>
      <c r="Y68" s="7">
        <f>Y31*'1_MODEL_assumptions'!$G105</f>
        <v>35508.660000000003</v>
      </c>
      <c r="Z68" s="7">
        <f>Z31*'1_MODEL_assumptions'!$G105</f>
        <v>35508.660000000003</v>
      </c>
      <c r="AA68" s="7">
        <f>AA31*'1_MODEL_assumptions'!$G105</f>
        <v>35508.660000000003</v>
      </c>
      <c r="AB68" s="7">
        <f>AB31*'1_MODEL_assumptions'!$G105</f>
        <v>35508.660000000003</v>
      </c>
      <c r="AC68" s="7">
        <f>AC31*'1_MODEL_assumptions'!$G105</f>
        <v>35508.660000000003</v>
      </c>
    </row>
    <row r="69" spans="1:29" s="30" customFormat="1" x14ac:dyDescent="0.3">
      <c r="A69" s="31"/>
      <c r="B69" s="31"/>
      <c r="C69" s="31"/>
      <c r="D69" s="30" t="str">
        <f t="shared" si="6"/>
        <v>Reefer Power Packs, 30 plugs, single engine, Tier 3 400 HP CAT</v>
      </c>
      <c r="E69" s="30" t="str">
        <f t="shared" si="6"/>
        <v>gal/yr</v>
      </c>
      <c r="G69" s="6">
        <f t="shared" si="7"/>
        <v>610103.34</v>
      </c>
      <c r="I69" s="7">
        <f>I32*'1_MODEL_assumptions'!$G106</f>
        <v>29052.54</v>
      </c>
      <c r="J69" s="7">
        <f>J32*'1_MODEL_assumptions'!$G106</f>
        <v>29052.54</v>
      </c>
      <c r="K69" s="7">
        <f>K32*'1_MODEL_assumptions'!$G106</f>
        <v>29052.54</v>
      </c>
      <c r="L69" s="7">
        <f>L32*'1_MODEL_assumptions'!$G106</f>
        <v>29052.54</v>
      </c>
      <c r="M69" s="7">
        <f>M32*'1_MODEL_assumptions'!$G106</f>
        <v>29052.54</v>
      </c>
      <c r="N69" s="7">
        <f>N32*'1_MODEL_assumptions'!$G106</f>
        <v>29052.54</v>
      </c>
      <c r="O69" s="7">
        <f>O32*'1_MODEL_assumptions'!$G106</f>
        <v>29052.54</v>
      </c>
      <c r="P69" s="7">
        <f>P32*'1_MODEL_assumptions'!$G106</f>
        <v>29052.54</v>
      </c>
      <c r="Q69" s="7">
        <f>Q32*'1_MODEL_assumptions'!$G106</f>
        <v>29052.54</v>
      </c>
      <c r="R69" s="7">
        <f>R32*'1_MODEL_assumptions'!$G106</f>
        <v>29052.54</v>
      </c>
      <c r="S69" s="7">
        <f>S32*'1_MODEL_assumptions'!$G106</f>
        <v>29052.54</v>
      </c>
      <c r="T69" s="7">
        <f>T32*'1_MODEL_assumptions'!$G106</f>
        <v>29052.54</v>
      </c>
      <c r="U69" s="7">
        <f>U32*'1_MODEL_assumptions'!$G106</f>
        <v>29052.54</v>
      </c>
      <c r="V69" s="7">
        <f>V32*'1_MODEL_assumptions'!$G106</f>
        <v>29052.54</v>
      </c>
      <c r="W69" s="7">
        <f>W32*'1_MODEL_assumptions'!$G106</f>
        <v>29052.54</v>
      </c>
      <c r="X69" s="7">
        <f>X32*'1_MODEL_assumptions'!$G106</f>
        <v>29052.54</v>
      </c>
      <c r="Y69" s="7">
        <f>Y32*'1_MODEL_assumptions'!$G106</f>
        <v>29052.54</v>
      </c>
      <c r="Z69" s="7">
        <f>Z32*'1_MODEL_assumptions'!$G106</f>
        <v>29052.54</v>
      </c>
      <c r="AA69" s="7">
        <f>AA32*'1_MODEL_assumptions'!$G106</f>
        <v>29052.54</v>
      </c>
      <c r="AB69" s="7">
        <f>AB32*'1_MODEL_assumptions'!$G106</f>
        <v>29052.54</v>
      </c>
      <c r="AC69" s="7">
        <f>AC32*'1_MODEL_assumptions'!$G106</f>
        <v>29052.54</v>
      </c>
    </row>
    <row r="70" spans="1:29" s="30" customFormat="1" x14ac:dyDescent="0.3">
      <c r="A70" s="31"/>
      <c r="B70" s="31"/>
      <c r="C70" s="31"/>
      <c r="D70" s="30" t="str">
        <f t="shared" si="6"/>
        <v>Nose Mount genset 1 plug, single engine, Tier 3, 32-34HP, Kubota / Carrier or Yanmar</v>
      </c>
      <c r="E70" s="30" t="str">
        <f t="shared" si="6"/>
        <v>gal/yr</v>
      </c>
      <c r="G70" s="6">
        <f t="shared" si="7"/>
        <v>6778926.0000000009</v>
      </c>
      <c r="I70" s="7">
        <f>I33*'1_MODEL_assumptions'!$G107</f>
        <v>322806.00000000006</v>
      </c>
      <c r="J70" s="7">
        <f>J33*'1_MODEL_assumptions'!$G107</f>
        <v>322806.00000000006</v>
      </c>
      <c r="K70" s="7">
        <f>K33*'1_MODEL_assumptions'!$G107</f>
        <v>322806.00000000006</v>
      </c>
      <c r="L70" s="7">
        <f>L33*'1_MODEL_assumptions'!$G107</f>
        <v>322806.00000000006</v>
      </c>
      <c r="M70" s="7">
        <f>M33*'1_MODEL_assumptions'!$G107</f>
        <v>322806.00000000006</v>
      </c>
      <c r="N70" s="7">
        <f>N33*'1_MODEL_assumptions'!$G107</f>
        <v>322806.00000000006</v>
      </c>
      <c r="O70" s="7">
        <f>O33*'1_MODEL_assumptions'!$G107</f>
        <v>322806.00000000006</v>
      </c>
      <c r="P70" s="7">
        <f>P33*'1_MODEL_assumptions'!$G107</f>
        <v>322806.00000000006</v>
      </c>
      <c r="Q70" s="7">
        <f>Q33*'1_MODEL_assumptions'!$G107</f>
        <v>322806.00000000006</v>
      </c>
      <c r="R70" s="7">
        <f>R33*'1_MODEL_assumptions'!$G107</f>
        <v>322806.00000000006</v>
      </c>
      <c r="S70" s="7">
        <f>S33*'1_MODEL_assumptions'!$G107</f>
        <v>322806.00000000006</v>
      </c>
      <c r="T70" s="7">
        <f>T33*'1_MODEL_assumptions'!$G107</f>
        <v>322806.00000000006</v>
      </c>
      <c r="U70" s="7">
        <f>U33*'1_MODEL_assumptions'!$G107</f>
        <v>322806.00000000006</v>
      </c>
      <c r="V70" s="7">
        <f>V33*'1_MODEL_assumptions'!$G107</f>
        <v>322806.00000000006</v>
      </c>
      <c r="W70" s="7">
        <f>W33*'1_MODEL_assumptions'!$G107</f>
        <v>322806.00000000006</v>
      </c>
      <c r="X70" s="7">
        <f>X33*'1_MODEL_assumptions'!$G107</f>
        <v>322806.00000000006</v>
      </c>
      <c r="Y70" s="7">
        <f>Y33*'1_MODEL_assumptions'!$G107</f>
        <v>322806.00000000006</v>
      </c>
      <c r="Z70" s="7">
        <f>Z33*'1_MODEL_assumptions'!$G107</f>
        <v>322806.00000000006</v>
      </c>
      <c r="AA70" s="7">
        <f>AA33*'1_MODEL_assumptions'!$G107</f>
        <v>322806.00000000006</v>
      </c>
      <c r="AB70" s="7">
        <f>AB33*'1_MODEL_assumptions'!$G107</f>
        <v>322806.00000000006</v>
      </c>
      <c r="AC70" s="7">
        <f>AC33*'1_MODEL_assumptions'!$G107</f>
        <v>322806.00000000006</v>
      </c>
    </row>
    <row r="71" spans="1:29" s="30" customFormat="1" x14ac:dyDescent="0.3">
      <c r="A71" s="31"/>
      <c r="B71" s="31"/>
      <c r="C71" s="31"/>
      <c r="D71" s="30" t="str">
        <f t="shared" si="6"/>
        <v>Reefer Plugs, Electric</v>
      </c>
      <c r="E71" s="30" t="str">
        <f t="shared" si="6"/>
        <v>kWh/yr</v>
      </c>
      <c r="I71" s="7">
        <f>I34*'1_MODEL_assumptions'!$G108</f>
        <v>0</v>
      </c>
      <c r="J71" s="7">
        <f>J34*'1_MODEL_assumptions'!$G108</f>
        <v>0</v>
      </c>
      <c r="K71" s="7">
        <f>K34*'1_MODEL_assumptions'!$G108</f>
        <v>0</v>
      </c>
      <c r="L71" s="7">
        <f>L34*'1_MODEL_assumptions'!$G108</f>
        <v>0</v>
      </c>
      <c r="M71" s="7">
        <f>M34*'1_MODEL_assumptions'!$G108</f>
        <v>0</v>
      </c>
      <c r="N71" s="7">
        <f>N34*'1_MODEL_assumptions'!$G108</f>
        <v>0</v>
      </c>
      <c r="O71" s="7">
        <f>O34*'1_MODEL_assumptions'!$G108</f>
        <v>0</v>
      </c>
      <c r="P71" s="7">
        <f>P34*'1_MODEL_assumptions'!$G108</f>
        <v>0</v>
      </c>
      <c r="Q71" s="7">
        <f>Q34*'1_MODEL_assumptions'!$G108</f>
        <v>0</v>
      </c>
      <c r="R71" s="7">
        <f>R34*'1_MODEL_assumptions'!$G108</f>
        <v>0</v>
      </c>
      <c r="S71" s="7">
        <f>S34*'1_MODEL_assumptions'!$G108</f>
        <v>0</v>
      </c>
      <c r="T71" s="7">
        <f>T34*'1_MODEL_assumptions'!$G108</f>
        <v>0</v>
      </c>
      <c r="U71" s="7">
        <f>U34*'1_MODEL_assumptions'!$G108</f>
        <v>0</v>
      </c>
      <c r="V71" s="7">
        <f>V34*'1_MODEL_assumptions'!$G108</f>
        <v>0</v>
      </c>
      <c r="W71" s="7">
        <f>W34*'1_MODEL_assumptions'!$G108</f>
        <v>0</v>
      </c>
      <c r="X71" s="7">
        <f>X34*'1_MODEL_assumptions'!$G108</f>
        <v>0</v>
      </c>
      <c r="Y71" s="7">
        <f>Y34*'1_MODEL_assumptions'!$G108</f>
        <v>0</v>
      </c>
      <c r="Z71" s="7">
        <f>Z34*'1_MODEL_assumptions'!$G108</f>
        <v>0</v>
      </c>
      <c r="AA71" s="7">
        <f>AA34*'1_MODEL_assumptions'!$G108</f>
        <v>0</v>
      </c>
      <c r="AB71" s="7">
        <f>AB34*'1_MODEL_assumptions'!$G108</f>
        <v>0</v>
      </c>
      <c r="AC71" s="7">
        <f>AC34*'1_MODEL_assumptions'!$G108</f>
        <v>0</v>
      </c>
    </row>
    <row r="72" spans="1:29" s="30" customFormat="1" x14ac:dyDescent="0.3">
      <c r="A72" s="31"/>
      <c r="B72" s="31"/>
      <c r="C72" s="31"/>
    </row>
    <row r="73" spans="1:29" s="30" customFormat="1" x14ac:dyDescent="0.3">
      <c r="A73" s="31"/>
      <c r="B73" s="31"/>
      <c r="C73" s="31"/>
      <c r="D73" s="30" t="s">
        <v>296</v>
      </c>
      <c r="E73" s="30" t="str">
        <f>E53</f>
        <v>gal/yr</v>
      </c>
      <c r="G73" s="16">
        <f>SUM(I73:AC73)</f>
        <v>18744583.199999999</v>
      </c>
      <c r="I73" s="57">
        <f t="shared" ref="I73:R74" si="8">SUMIF($E$58:$E$71,$E73,I$58:I$71)</f>
        <v>872797.60000000009</v>
      </c>
      <c r="J73" s="57">
        <f t="shared" si="8"/>
        <v>872797.60000000009</v>
      </c>
      <c r="K73" s="57">
        <f t="shared" si="8"/>
        <v>872797.60000000009</v>
      </c>
      <c r="L73" s="57">
        <f t="shared" si="8"/>
        <v>872797.60000000009</v>
      </c>
      <c r="M73" s="57">
        <f t="shared" si="8"/>
        <v>872797.60000000009</v>
      </c>
      <c r="N73" s="57">
        <f t="shared" si="8"/>
        <v>872797.60000000009</v>
      </c>
      <c r="O73" s="57">
        <f t="shared" si="8"/>
        <v>872797.60000000009</v>
      </c>
      <c r="P73" s="57">
        <f t="shared" si="8"/>
        <v>902500</v>
      </c>
      <c r="Q73" s="57">
        <f t="shared" si="8"/>
        <v>902500</v>
      </c>
      <c r="R73" s="57">
        <f t="shared" si="8"/>
        <v>902500</v>
      </c>
      <c r="S73" s="57">
        <f t="shared" ref="S73:AC74" si="9">SUMIF($E$58:$E$71,$E73,S$58:S$71)</f>
        <v>902500</v>
      </c>
      <c r="T73" s="57">
        <f t="shared" si="9"/>
        <v>902500</v>
      </c>
      <c r="U73" s="57">
        <f t="shared" si="9"/>
        <v>902500</v>
      </c>
      <c r="V73" s="57">
        <f t="shared" si="9"/>
        <v>902500</v>
      </c>
      <c r="W73" s="57">
        <f t="shared" si="9"/>
        <v>902500</v>
      </c>
      <c r="X73" s="57">
        <f t="shared" si="9"/>
        <v>902500</v>
      </c>
      <c r="Y73" s="57">
        <f t="shared" si="9"/>
        <v>902500</v>
      </c>
      <c r="Z73" s="57">
        <f t="shared" si="9"/>
        <v>902500</v>
      </c>
      <c r="AA73" s="57">
        <f t="shared" si="9"/>
        <v>902500</v>
      </c>
      <c r="AB73" s="57">
        <f t="shared" si="9"/>
        <v>902500</v>
      </c>
      <c r="AC73" s="57">
        <f t="shared" si="9"/>
        <v>902500</v>
      </c>
    </row>
    <row r="74" spans="1:29" s="30" customFormat="1" x14ac:dyDescent="0.3">
      <c r="A74" s="31"/>
      <c r="B74" s="31"/>
      <c r="C74" s="31"/>
      <c r="D74" s="30" t="s">
        <v>297</v>
      </c>
      <c r="E74" s="30" t="str">
        <f>E54</f>
        <v>kWh/yr</v>
      </c>
      <c r="G74" s="16">
        <f>SUM(I74:AC74)</f>
        <v>0</v>
      </c>
      <c r="I74" s="57">
        <f t="shared" si="8"/>
        <v>0</v>
      </c>
      <c r="J74" s="57">
        <f t="shared" si="8"/>
        <v>0</v>
      </c>
      <c r="K74" s="57">
        <f t="shared" si="8"/>
        <v>0</v>
      </c>
      <c r="L74" s="57">
        <f t="shared" si="8"/>
        <v>0</v>
      </c>
      <c r="M74" s="57">
        <f t="shared" si="8"/>
        <v>0</v>
      </c>
      <c r="N74" s="57">
        <f t="shared" si="8"/>
        <v>0</v>
      </c>
      <c r="O74" s="57">
        <f t="shared" si="8"/>
        <v>0</v>
      </c>
      <c r="P74" s="57">
        <f t="shared" si="8"/>
        <v>0</v>
      </c>
      <c r="Q74" s="57">
        <f t="shared" si="8"/>
        <v>0</v>
      </c>
      <c r="R74" s="57">
        <f t="shared" si="8"/>
        <v>0</v>
      </c>
      <c r="S74" s="57">
        <f t="shared" si="9"/>
        <v>0</v>
      </c>
      <c r="T74" s="57">
        <f t="shared" si="9"/>
        <v>0</v>
      </c>
      <c r="U74" s="57">
        <f t="shared" si="9"/>
        <v>0</v>
      </c>
      <c r="V74" s="57">
        <f t="shared" si="9"/>
        <v>0</v>
      </c>
      <c r="W74" s="57">
        <f t="shared" si="9"/>
        <v>0</v>
      </c>
      <c r="X74" s="57">
        <f t="shared" si="9"/>
        <v>0</v>
      </c>
      <c r="Y74" s="57">
        <f t="shared" si="9"/>
        <v>0</v>
      </c>
      <c r="Z74" s="57">
        <f t="shared" si="9"/>
        <v>0</v>
      </c>
      <c r="AA74" s="57">
        <f t="shared" si="9"/>
        <v>0</v>
      </c>
      <c r="AB74" s="57">
        <f t="shared" si="9"/>
        <v>0</v>
      </c>
      <c r="AC74" s="57">
        <f t="shared" si="9"/>
        <v>0</v>
      </c>
    </row>
    <row r="75" spans="1:29" s="30" customFormat="1" x14ac:dyDescent="0.3">
      <c r="A75" s="31"/>
      <c r="B75" s="31"/>
      <c r="C75" s="31"/>
      <c r="G75" s="7">
        <f>G73-G53</f>
        <v>12332454.584444443</v>
      </c>
    </row>
    <row r="76" spans="1:29" s="30" customFormat="1" x14ac:dyDescent="0.3">
      <c r="A76" s="31"/>
      <c r="B76" s="31"/>
      <c r="C76" s="31" t="s">
        <v>324</v>
      </c>
      <c r="G76" s="7"/>
    </row>
    <row r="77" spans="1:29" s="30" customFormat="1" x14ac:dyDescent="0.3">
      <c r="A77" s="31"/>
      <c r="B77" s="31"/>
      <c r="C77" s="31"/>
      <c r="D77" s="31" t="s">
        <v>344</v>
      </c>
      <c r="G77" s="7"/>
      <c r="L77" s="30" t="s">
        <v>321</v>
      </c>
      <c r="M77" s="30" t="s">
        <v>109</v>
      </c>
      <c r="O77" s="30" t="s">
        <v>108</v>
      </c>
      <c r="P77" s="30" t="s">
        <v>322</v>
      </c>
    </row>
    <row r="78" spans="1:29" s="30" customFormat="1" x14ac:dyDescent="0.3">
      <c r="A78" s="31"/>
      <c r="B78" s="31"/>
      <c r="C78" s="31"/>
      <c r="D78" s="30" t="s">
        <v>345</v>
      </c>
      <c r="E78" s="30" t="s">
        <v>346</v>
      </c>
      <c r="G78" s="7"/>
      <c r="L78" s="30">
        <v>0.28799999999999998</v>
      </c>
      <c r="M78" s="30">
        <v>835.1</v>
      </c>
      <c r="O78" s="30">
        <v>6.4699999999999994E-2</v>
      </c>
      <c r="P78" s="30">
        <v>0.152</v>
      </c>
    </row>
    <row r="79" spans="1:29" s="30" customFormat="1" x14ac:dyDescent="0.3">
      <c r="A79" s="31"/>
      <c r="B79" s="31"/>
      <c r="C79" s="31"/>
      <c r="D79" s="30" t="s">
        <v>350</v>
      </c>
      <c r="G79" s="7"/>
      <c r="L79" s="30" t="s">
        <v>348</v>
      </c>
      <c r="M79" s="85" t="s">
        <v>348</v>
      </c>
      <c r="N79" s="30" t="s">
        <v>121</v>
      </c>
      <c r="O79" s="30" t="s">
        <v>349</v>
      </c>
      <c r="P79" s="85" t="s">
        <v>348</v>
      </c>
      <c r="Q79" s="30" t="s">
        <v>121</v>
      </c>
    </row>
    <row r="80" spans="1:29" s="30" customFormat="1" x14ac:dyDescent="0.3">
      <c r="A80" s="31"/>
      <c r="B80" s="31"/>
      <c r="C80" s="31"/>
      <c r="G80" s="7"/>
    </row>
    <row r="81" spans="1:18" s="30" customFormat="1" x14ac:dyDescent="0.3">
      <c r="A81" s="31"/>
      <c r="B81" s="31"/>
      <c r="C81" s="31"/>
      <c r="G81" s="7"/>
    </row>
    <row r="82" spans="1:18" s="30" customFormat="1" x14ac:dyDescent="0.3">
      <c r="A82" s="31"/>
      <c r="B82" s="31"/>
      <c r="C82" s="31"/>
      <c r="G82" s="7"/>
    </row>
    <row r="83" spans="1:18" s="30" customFormat="1" x14ac:dyDescent="0.3">
      <c r="A83" s="31"/>
      <c r="B83" s="31"/>
      <c r="C83" s="31"/>
      <c r="D83" s="31" t="s">
        <v>325</v>
      </c>
      <c r="G83" s="7"/>
      <c r="H83" s="31"/>
      <c r="I83" s="31"/>
      <c r="J83" s="31"/>
      <c r="K83" s="31"/>
      <c r="L83" s="31" t="s">
        <v>321</v>
      </c>
      <c r="M83" s="31" t="s">
        <v>108</v>
      </c>
      <c r="N83" s="31" t="s">
        <v>322</v>
      </c>
      <c r="O83" s="31" t="s">
        <v>109</v>
      </c>
      <c r="Q83" s="31"/>
      <c r="R83" s="31"/>
    </row>
    <row r="84" spans="1:18" s="30" customFormat="1" x14ac:dyDescent="0.3">
      <c r="A84" s="31"/>
      <c r="B84" s="31"/>
      <c r="C84" s="31"/>
      <c r="D84" s="30" t="str">
        <f t="shared" ref="D84:D96" si="10">D58</f>
        <v>Top Pick</v>
      </c>
      <c r="E84" s="30" t="s">
        <v>424</v>
      </c>
      <c r="G84" s="7"/>
      <c r="L84" s="30" t="s">
        <v>425</v>
      </c>
    </row>
    <row r="85" spans="1:18" s="30" customFormat="1" x14ac:dyDescent="0.3">
      <c r="A85" s="31"/>
      <c r="B85" s="31"/>
      <c r="C85" s="31"/>
      <c r="D85" s="30" t="str">
        <f t="shared" si="10"/>
        <v>RTGs, Hybrid</v>
      </c>
      <c r="E85" s="85" t="s">
        <v>423</v>
      </c>
      <c r="F85" s="30" t="s">
        <v>343</v>
      </c>
      <c r="G85" s="7"/>
      <c r="H85" s="84"/>
      <c r="I85" s="84"/>
      <c r="J85" s="84"/>
      <c r="K85" s="84"/>
      <c r="L85" s="85">
        <v>7.77891600787066E-7</v>
      </c>
      <c r="M85" s="85">
        <v>5.9175709603442084E-8</v>
      </c>
      <c r="N85" s="85">
        <v>2.6575273221909446E-8</v>
      </c>
      <c r="Q85" s="84"/>
    </row>
    <row r="86" spans="1:18" s="30" customFormat="1" x14ac:dyDescent="0.3">
      <c r="A86" s="31"/>
      <c r="B86" s="31"/>
      <c r="C86" s="31"/>
      <c r="D86" s="30" t="str">
        <f t="shared" si="10"/>
        <v>Forklift, 10000 lb, Diesel</v>
      </c>
      <c r="E86" s="30" t="s">
        <v>423</v>
      </c>
      <c r="F86" s="30" t="s">
        <v>337</v>
      </c>
      <c r="G86" s="7"/>
      <c r="L86" s="85">
        <v>5.8051865515504099E-5</v>
      </c>
      <c r="M86" s="85">
        <v>6.3990053428260273E-7</v>
      </c>
      <c r="N86" s="85">
        <v>1.03889067507797E-7</v>
      </c>
    </row>
    <row r="87" spans="1:18" s="30" customFormat="1" x14ac:dyDescent="0.3">
      <c r="A87" s="31"/>
      <c r="B87" s="31"/>
      <c r="C87" s="31"/>
      <c r="D87" s="30" t="str">
        <f t="shared" si="10"/>
        <v>Forklift, 10000 lb, electric</v>
      </c>
      <c r="E87" s="30" t="s">
        <v>351</v>
      </c>
      <c r="G87" s="7"/>
      <c r="L87" s="30">
        <f>L$78/1000</f>
        <v>2.8799999999999995E-4</v>
      </c>
      <c r="M87" s="85">
        <f>O$78/1000</f>
        <v>6.4699999999999987E-5</v>
      </c>
      <c r="N87" s="85">
        <f>P$78/1000</f>
        <v>1.5200000000000001E-4</v>
      </c>
      <c r="O87" s="30">
        <f>M$78/1000</f>
        <v>0.83510000000000006</v>
      </c>
    </row>
    <row r="88" spans="1:18" s="30" customFormat="1" x14ac:dyDescent="0.3">
      <c r="A88" s="31"/>
      <c r="B88" s="31"/>
      <c r="C88" s="31"/>
      <c r="D88" s="30" t="str">
        <f t="shared" si="10"/>
        <v>Forklift, 18000 lb, Diesel</v>
      </c>
      <c r="E88" s="85" t="s">
        <v>423</v>
      </c>
      <c r="F88" s="30" t="s">
        <v>339</v>
      </c>
      <c r="G88" s="7"/>
      <c r="L88" s="30">
        <f>L86</f>
        <v>5.8051865515504099E-5</v>
      </c>
      <c r="M88" s="85">
        <f>M86</f>
        <v>6.3990053428260273E-7</v>
      </c>
      <c r="N88" s="85">
        <f>N86</f>
        <v>1.03889067507797E-7</v>
      </c>
    </row>
    <row r="89" spans="1:18" s="30" customFormat="1" x14ac:dyDescent="0.3">
      <c r="A89" s="31"/>
      <c r="B89" s="31"/>
      <c r="C89" s="31"/>
      <c r="D89" s="30" t="str">
        <f t="shared" si="10"/>
        <v>Forklift, 18000 lb, electric</v>
      </c>
      <c r="E89" s="85" t="s">
        <v>351</v>
      </c>
      <c r="F89" s="85"/>
      <c r="G89" s="87"/>
      <c r="H89" s="85"/>
      <c r="I89" s="85"/>
      <c r="J89" s="85"/>
      <c r="K89" s="85"/>
      <c r="L89" s="85">
        <f>L$78/1000</f>
        <v>2.8799999999999995E-4</v>
      </c>
      <c r="M89" s="85">
        <f>O$78/1000</f>
        <v>6.4699999999999987E-5</v>
      </c>
      <c r="N89" s="85">
        <f>P$78/1000</f>
        <v>1.5200000000000001E-4</v>
      </c>
      <c r="O89" s="85">
        <f>M$78/1000</f>
        <v>0.83510000000000006</v>
      </c>
    </row>
    <row r="90" spans="1:18" s="30" customFormat="1" x14ac:dyDescent="0.3">
      <c r="A90" s="31"/>
      <c r="B90" s="31"/>
      <c r="C90" s="31"/>
      <c r="D90" s="30" t="str">
        <f t="shared" si="10"/>
        <v>Forklift, 36000 lb, diesel</v>
      </c>
      <c r="E90" s="85" t="s">
        <v>423</v>
      </c>
      <c r="F90" s="30" t="s">
        <v>338</v>
      </c>
      <c r="G90" s="7"/>
      <c r="L90" s="85">
        <v>1.1012029668720494E-4</v>
      </c>
      <c r="M90" s="85">
        <v>4.8976461509669781E-6</v>
      </c>
      <c r="N90" s="85">
        <v>1.0379452141423688E-7</v>
      </c>
    </row>
    <row r="91" spans="1:18" s="30" customFormat="1" x14ac:dyDescent="0.3">
      <c r="A91" s="31"/>
      <c r="B91" s="31"/>
      <c r="C91" s="31"/>
      <c r="D91" s="30" t="str">
        <f t="shared" si="10"/>
        <v>Forklift, 36000 lb, electric</v>
      </c>
      <c r="E91" s="85" t="s">
        <v>351</v>
      </c>
      <c r="F91" s="85"/>
      <c r="G91" s="87"/>
      <c r="H91" s="85"/>
      <c r="I91" s="85"/>
      <c r="J91" s="85"/>
      <c r="K91" s="85"/>
      <c r="L91" s="85">
        <f>L$78/1000</f>
        <v>2.8799999999999995E-4</v>
      </c>
      <c r="M91" s="85">
        <f>O$78/1000</f>
        <v>6.4699999999999987E-5</v>
      </c>
      <c r="N91" s="85">
        <f>P$78/1000</f>
        <v>1.5200000000000001E-4</v>
      </c>
      <c r="O91" s="85">
        <f>M$78/1000</f>
        <v>0.83510000000000006</v>
      </c>
    </row>
    <row r="92" spans="1:18" s="30" customFormat="1" x14ac:dyDescent="0.3">
      <c r="A92" s="31"/>
      <c r="B92" s="31"/>
      <c r="C92" s="31"/>
      <c r="D92" s="30" t="str">
        <f t="shared" si="10"/>
        <v>Yard Tractor, Diesel</v>
      </c>
      <c r="E92" s="85" t="s">
        <v>423</v>
      </c>
      <c r="F92" s="30" t="s">
        <v>340</v>
      </c>
      <c r="G92" s="7"/>
      <c r="L92" s="85">
        <v>2.2135490730882885E-5</v>
      </c>
      <c r="M92" s="85">
        <v>2.0832372811106735E-7</v>
      </c>
      <c r="N92" s="85">
        <v>1.0397949031956839E-7</v>
      </c>
    </row>
    <row r="93" spans="1:18" s="30" customFormat="1" x14ac:dyDescent="0.3">
      <c r="A93" s="31"/>
      <c r="B93" s="31"/>
      <c r="C93" s="31"/>
      <c r="D93" s="30" t="str">
        <f t="shared" si="10"/>
        <v>Yard Tractor, electric</v>
      </c>
      <c r="E93" s="85" t="s">
        <v>351</v>
      </c>
      <c r="F93" s="85"/>
      <c r="G93" s="87"/>
      <c r="H93" s="85"/>
      <c r="I93" s="85"/>
      <c r="J93" s="85"/>
      <c r="K93" s="85"/>
      <c r="L93" s="85">
        <f>L$78/1000</f>
        <v>2.8799999999999995E-4</v>
      </c>
      <c r="M93" s="85">
        <f>O$78/1000</f>
        <v>6.4699999999999987E-5</v>
      </c>
      <c r="N93" s="85">
        <f>P$78/1000</f>
        <v>1.5200000000000001E-4</v>
      </c>
      <c r="O93" s="85">
        <f>M$78/1000</f>
        <v>0.83510000000000006</v>
      </c>
    </row>
    <row r="94" spans="1:18" s="30" customFormat="1" x14ac:dyDescent="0.3">
      <c r="A94" s="31"/>
      <c r="B94" s="31"/>
      <c r="C94" s="31" t="s">
        <v>355</v>
      </c>
      <c r="D94" s="30" t="str">
        <f t="shared" si="10"/>
        <v>Reefer Power Packs, 30 plugs, dual engine, Tier 3, 400 HP CAT</v>
      </c>
      <c r="E94" s="30" t="s">
        <v>347</v>
      </c>
      <c r="F94" s="30" t="s">
        <v>426</v>
      </c>
      <c r="G94" s="7"/>
      <c r="L94" s="30">
        <f>L333</f>
        <v>1.0592576284326052E-4</v>
      </c>
      <c r="M94" s="30">
        <v>5.1368009210485017E-9</v>
      </c>
      <c r="N94" s="30">
        <v>2.4679843019321058E-9</v>
      </c>
    </row>
    <row r="95" spans="1:18" s="30" customFormat="1" x14ac:dyDescent="0.3">
      <c r="A95" s="31"/>
      <c r="B95" s="31"/>
      <c r="C95" s="31" t="s">
        <v>355</v>
      </c>
      <c r="D95" s="30" t="str">
        <f t="shared" si="10"/>
        <v>Reefer Power Packs, 30 plugs, single engine, Tier 3 400 HP CAT</v>
      </c>
      <c r="E95" s="30" t="s">
        <v>347</v>
      </c>
      <c r="F95" s="30" t="s">
        <v>341</v>
      </c>
      <c r="G95" s="7"/>
      <c r="L95" s="30">
        <f>L94</f>
        <v>1.0592576284326052E-4</v>
      </c>
      <c r="M95" s="85">
        <f>M94</f>
        <v>5.1368009210485017E-9</v>
      </c>
      <c r="N95" s="85">
        <f>N94</f>
        <v>2.4679843019321058E-9</v>
      </c>
    </row>
    <row r="96" spans="1:18" s="30" customFormat="1" x14ac:dyDescent="0.3">
      <c r="A96" s="31"/>
      <c r="B96" s="31"/>
      <c r="C96" s="31" t="s">
        <v>355</v>
      </c>
      <c r="D96" s="30" t="str">
        <f t="shared" si="10"/>
        <v>Nose Mount genset 1 plug, single engine, Tier 3, 32-34HP, Kubota / Carrier or Yanmar</v>
      </c>
      <c r="E96" s="30" t="s">
        <v>347</v>
      </c>
      <c r="F96" s="30" t="s">
        <v>342</v>
      </c>
      <c r="G96" s="7"/>
      <c r="L96" s="30">
        <f>L334</f>
        <v>1.1687324331233999E-4</v>
      </c>
      <c r="M96" s="30">
        <v>3.2370340837383846E-8</v>
      </c>
      <c r="N96" s="30">
        <v>2.4461836386602747E-9</v>
      </c>
    </row>
    <row r="97" spans="1:29" s="85" customFormat="1" x14ac:dyDescent="0.3">
      <c r="A97" s="31"/>
      <c r="B97" s="31"/>
      <c r="C97" s="31"/>
      <c r="D97" s="85" t="s">
        <v>358</v>
      </c>
      <c r="G97" s="87"/>
      <c r="L97" s="85">
        <f>L$78/1000</f>
        <v>2.8799999999999995E-4</v>
      </c>
      <c r="M97" s="85">
        <f>O$78/1000</f>
        <v>6.4699999999999987E-5</v>
      </c>
      <c r="N97" s="85">
        <f>P$78/1000</f>
        <v>1.5200000000000001E-4</v>
      </c>
      <c r="O97" s="85">
        <f>M$78/1000</f>
        <v>0.83510000000000006</v>
      </c>
    </row>
    <row r="98" spans="1:29" s="30" customFormat="1" x14ac:dyDescent="0.3">
      <c r="A98" s="31"/>
      <c r="B98" s="31"/>
      <c r="C98" s="31"/>
      <c r="G98" s="7"/>
    </row>
    <row r="99" spans="1:29" s="30" customFormat="1" x14ac:dyDescent="0.3">
      <c r="A99" s="31"/>
      <c r="B99" s="31"/>
      <c r="C99" s="93" t="s">
        <v>376</v>
      </c>
      <c r="D99" s="31" t="s">
        <v>354</v>
      </c>
      <c r="G99" s="7"/>
    </row>
    <row r="100" spans="1:29" s="30" customFormat="1" x14ac:dyDescent="0.3">
      <c r="A100" s="31"/>
      <c r="B100" s="31"/>
      <c r="C100" s="93"/>
      <c r="D100" s="30" t="str">
        <f t="shared" ref="D100:D112" si="11">D84</f>
        <v>Top Pick</v>
      </c>
      <c r="E100" s="30" t="s">
        <v>356</v>
      </c>
      <c r="G100" s="11">
        <f t="shared" ref="G100:G114" si="12">SUM(I100:AC100)</f>
        <v>115.1804771587995</v>
      </c>
      <c r="H100" s="83"/>
      <c r="I100" s="98">
        <f>I$339*I$38</f>
        <v>45.68328348476475</v>
      </c>
      <c r="J100" s="98">
        <f t="shared" ref="J100:AC100" si="13">J$339*J$38</f>
        <v>33.699511076427029</v>
      </c>
      <c r="K100" s="98">
        <f t="shared" si="13"/>
        <v>14.651533121359275</v>
      </c>
      <c r="L100" s="98">
        <f t="shared" si="13"/>
        <v>9.9306450334542298</v>
      </c>
      <c r="M100" s="98">
        <f t="shared" si="13"/>
        <v>5.2097496232589728</v>
      </c>
      <c r="N100" s="98">
        <f t="shared" si="13"/>
        <v>1.8546404775554199</v>
      </c>
      <c r="O100" s="98">
        <f t="shared" si="13"/>
        <v>0.27674095613198618</v>
      </c>
      <c r="P100" s="98">
        <f t="shared" si="13"/>
        <v>0.27674095613198618</v>
      </c>
      <c r="Q100" s="98">
        <f t="shared" si="13"/>
        <v>0.27674095613198618</v>
      </c>
      <c r="R100" s="98">
        <f t="shared" si="13"/>
        <v>0.27674095613198618</v>
      </c>
      <c r="S100" s="98">
        <f t="shared" si="13"/>
        <v>0.27674095613198618</v>
      </c>
      <c r="T100" s="98">
        <f t="shared" si="13"/>
        <v>0.27674095613198618</v>
      </c>
      <c r="U100" s="98">
        <f t="shared" si="13"/>
        <v>0.27674095613198618</v>
      </c>
      <c r="V100" s="98">
        <f t="shared" si="13"/>
        <v>0.27674095613198618</v>
      </c>
      <c r="W100" s="98">
        <f t="shared" si="13"/>
        <v>0.27674095613198618</v>
      </c>
      <c r="X100" s="98">
        <f t="shared" si="13"/>
        <v>0.27674095613198618</v>
      </c>
      <c r="Y100" s="98">
        <f t="shared" si="13"/>
        <v>0.27674095613198618</v>
      </c>
      <c r="Z100" s="98">
        <f t="shared" si="13"/>
        <v>0.27674095613198618</v>
      </c>
      <c r="AA100" s="98">
        <f t="shared" si="13"/>
        <v>0.27674095613198618</v>
      </c>
      <c r="AB100" s="98">
        <f t="shared" si="13"/>
        <v>0.27674095613198618</v>
      </c>
      <c r="AC100" s="98">
        <f t="shared" si="13"/>
        <v>0.27674095613198618</v>
      </c>
    </row>
    <row r="101" spans="1:29" s="30" customFormat="1" x14ac:dyDescent="0.3">
      <c r="A101" s="31"/>
      <c r="B101" s="31"/>
      <c r="C101" s="93"/>
      <c r="D101" s="85" t="str">
        <f t="shared" si="11"/>
        <v>RTGs, Hybrid</v>
      </c>
      <c r="E101" s="30" t="s">
        <v>356</v>
      </c>
      <c r="G101" s="11">
        <f t="shared" si="12"/>
        <v>2.7026595585489352</v>
      </c>
      <c r="H101" s="83"/>
      <c r="I101" s="98">
        <f>$L85*I39</f>
        <v>2.2903894563974021E-2</v>
      </c>
      <c r="J101" s="98">
        <f t="shared" ref="J101:AC101" si="14">$L85*J39</f>
        <v>6.8711683691922057E-2</v>
      </c>
      <c r="K101" s="98">
        <f t="shared" si="14"/>
        <v>0.13742336738384411</v>
      </c>
      <c r="L101" s="98">
        <f t="shared" si="14"/>
        <v>0.13742336738384411</v>
      </c>
      <c r="M101" s="98">
        <f t="shared" si="14"/>
        <v>0.13742336738384411</v>
      </c>
      <c r="N101" s="98">
        <f t="shared" si="14"/>
        <v>0.13742336738384411</v>
      </c>
      <c r="O101" s="98">
        <f t="shared" si="14"/>
        <v>0.13742336738384411</v>
      </c>
      <c r="P101" s="98">
        <f t="shared" si="14"/>
        <v>0.13742336738384411</v>
      </c>
      <c r="Q101" s="98">
        <f t="shared" si="14"/>
        <v>0.13742336738384411</v>
      </c>
      <c r="R101" s="98">
        <f t="shared" si="14"/>
        <v>0.13742336738384411</v>
      </c>
      <c r="S101" s="98">
        <f t="shared" si="14"/>
        <v>0.13742336738384411</v>
      </c>
      <c r="T101" s="98">
        <f t="shared" si="14"/>
        <v>0.13742336738384411</v>
      </c>
      <c r="U101" s="98">
        <f t="shared" si="14"/>
        <v>0.13742336738384411</v>
      </c>
      <c r="V101" s="98">
        <f t="shared" si="14"/>
        <v>0.13742336738384411</v>
      </c>
      <c r="W101" s="98">
        <f t="shared" si="14"/>
        <v>0.13742336738384411</v>
      </c>
      <c r="X101" s="98">
        <f t="shared" si="14"/>
        <v>0.13742336738384411</v>
      </c>
      <c r="Y101" s="98">
        <f t="shared" si="14"/>
        <v>0.13742336738384411</v>
      </c>
      <c r="Z101" s="98">
        <f t="shared" si="14"/>
        <v>0.13742336738384411</v>
      </c>
      <c r="AA101" s="98">
        <f t="shared" si="14"/>
        <v>0.13742336738384411</v>
      </c>
      <c r="AB101" s="98">
        <f t="shared" si="14"/>
        <v>0.13742336738384411</v>
      </c>
      <c r="AC101" s="98">
        <f t="shared" si="14"/>
        <v>0.13742336738384411</v>
      </c>
    </row>
    <row r="102" spans="1:29" s="30" customFormat="1" x14ac:dyDescent="0.3">
      <c r="A102" s="31"/>
      <c r="B102" s="31"/>
      <c r="C102" s="93"/>
      <c r="D102" s="85" t="str">
        <f t="shared" si="11"/>
        <v>Forklift, 10000 lb, Diesel</v>
      </c>
      <c r="E102" s="30" t="s">
        <v>356</v>
      </c>
      <c r="G102" s="11">
        <f t="shared" si="12"/>
        <v>1.6482085657161925</v>
      </c>
      <c r="I102" s="98">
        <f>$L86*I40</f>
        <v>1.1410674685727487</v>
      </c>
      <c r="J102" s="98">
        <f>$L86*J40</f>
        <v>0.5071410971434438</v>
      </c>
      <c r="K102" s="98">
        <f>$L86*K40</f>
        <v>0</v>
      </c>
      <c r="L102" s="98">
        <f>$L86*L40</f>
        <v>0</v>
      </c>
      <c r="M102" s="98">
        <f>$L86*M40</f>
        <v>0</v>
      </c>
      <c r="N102" s="98">
        <f>$L86*N40</f>
        <v>0</v>
      </c>
      <c r="O102" s="98">
        <f>$L86*O40</f>
        <v>0</v>
      </c>
      <c r="P102" s="98">
        <f>$L86*P40</f>
        <v>0</v>
      </c>
      <c r="Q102" s="98">
        <f>$L86*Q40</f>
        <v>0</v>
      </c>
      <c r="R102" s="98">
        <f>$L86*R40</f>
        <v>0</v>
      </c>
      <c r="S102" s="98">
        <f t="shared" ref="S102:AC102" si="15">$L86*S40</f>
        <v>0</v>
      </c>
      <c r="T102" s="98">
        <f t="shared" si="15"/>
        <v>0</v>
      </c>
      <c r="U102" s="98">
        <f t="shared" si="15"/>
        <v>0</v>
      </c>
      <c r="V102" s="98">
        <f t="shared" si="15"/>
        <v>0</v>
      </c>
      <c r="W102" s="98">
        <f t="shared" si="15"/>
        <v>0</v>
      </c>
      <c r="X102" s="98">
        <f t="shared" si="15"/>
        <v>0</v>
      </c>
      <c r="Y102" s="98">
        <f t="shared" si="15"/>
        <v>0</v>
      </c>
      <c r="Z102" s="98">
        <f t="shared" si="15"/>
        <v>0</v>
      </c>
      <c r="AA102" s="98">
        <f t="shared" si="15"/>
        <v>0</v>
      </c>
      <c r="AB102" s="98">
        <f t="shared" si="15"/>
        <v>0</v>
      </c>
      <c r="AC102" s="98">
        <f t="shared" si="15"/>
        <v>0</v>
      </c>
    </row>
    <row r="103" spans="1:29" s="30" customFormat="1" x14ac:dyDescent="0.3">
      <c r="A103" s="31"/>
      <c r="B103" s="31"/>
      <c r="C103" s="93"/>
      <c r="D103" s="85" t="str">
        <f t="shared" si="11"/>
        <v>Forklift, 10000 lb, electric</v>
      </c>
      <c r="E103" s="85" t="s">
        <v>356</v>
      </c>
      <c r="G103" s="11">
        <f t="shared" si="12"/>
        <v>0.96375551999999998</v>
      </c>
      <c r="I103" s="98">
        <f t="shared" ref="I103:AC103" si="16">$L87*I41/2000</f>
        <v>4.8921599999999987E-3</v>
      </c>
      <c r="J103" s="98">
        <f t="shared" ref="J103:AC103" si="17">$L87*J41/2000</f>
        <v>2.9352959999999994E-2</v>
      </c>
      <c r="K103" s="98">
        <f t="shared" si="17"/>
        <v>4.8921599999999982E-2</v>
      </c>
      <c r="L103" s="98">
        <f t="shared" si="17"/>
        <v>4.8921599999999982E-2</v>
      </c>
      <c r="M103" s="98">
        <f t="shared" si="17"/>
        <v>4.8921599999999982E-2</v>
      </c>
      <c r="N103" s="98">
        <f t="shared" si="17"/>
        <v>4.8921599999999982E-2</v>
      </c>
      <c r="O103" s="98">
        <f t="shared" si="17"/>
        <v>4.8921599999999982E-2</v>
      </c>
      <c r="P103" s="98">
        <f t="shared" si="17"/>
        <v>4.8921599999999982E-2</v>
      </c>
      <c r="Q103" s="98">
        <f t="shared" si="17"/>
        <v>4.8921599999999982E-2</v>
      </c>
      <c r="R103" s="98">
        <f t="shared" si="17"/>
        <v>4.8921599999999982E-2</v>
      </c>
      <c r="S103" s="98">
        <f t="shared" si="17"/>
        <v>4.8921599999999982E-2</v>
      </c>
      <c r="T103" s="98">
        <f t="shared" si="17"/>
        <v>4.8921599999999982E-2</v>
      </c>
      <c r="U103" s="98">
        <f t="shared" si="17"/>
        <v>4.8921599999999982E-2</v>
      </c>
      <c r="V103" s="98">
        <f t="shared" si="17"/>
        <v>4.8921599999999982E-2</v>
      </c>
      <c r="W103" s="98">
        <f t="shared" si="17"/>
        <v>4.8921599999999982E-2</v>
      </c>
      <c r="X103" s="98">
        <f t="shared" si="17"/>
        <v>4.8921599999999982E-2</v>
      </c>
      <c r="Y103" s="98">
        <f t="shared" si="17"/>
        <v>4.8921599999999982E-2</v>
      </c>
      <c r="Z103" s="98">
        <f t="shared" si="17"/>
        <v>4.8921599999999982E-2</v>
      </c>
      <c r="AA103" s="98">
        <f t="shared" si="17"/>
        <v>4.8921599999999982E-2</v>
      </c>
      <c r="AB103" s="98">
        <f t="shared" si="17"/>
        <v>4.8921599999999982E-2</v>
      </c>
      <c r="AC103" s="98">
        <f t="shared" si="17"/>
        <v>4.8921599999999982E-2</v>
      </c>
    </row>
    <row r="104" spans="1:29" s="30" customFormat="1" x14ac:dyDescent="0.3">
      <c r="A104" s="31"/>
      <c r="B104" s="31"/>
      <c r="C104" s="93"/>
      <c r="D104" s="85" t="str">
        <f t="shared" si="11"/>
        <v>Forklift, 18000 lb, Diesel</v>
      </c>
      <c r="E104" s="85" t="s">
        <v>356</v>
      </c>
      <c r="G104" s="11">
        <f t="shared" si="12"/>
        <v>3.1696318571465234</v>
      </c>
      <c r="I104" s="98">
        <f>$L88*I42</f>
        <v>2.1130879047643489</v>
      </c>
      <c r="J104" s="98">
        <f>$L88*J42</f>
        <v>1.0565439523821745</v>
      </c>
      <c r="K104" s="98">
        <f>$L88*K42</f>
        <v>0</v>
      </c>
      <c r="L104" s="98">
        <f>$L88*L42</f>
        <v>0</v>
      </c>
      <c r="M104" s="98">
        <f>$L88*M42</f>
        <v>0</v>
      </c>
      <c r="N104" s="98">
        <f>$L88*N42</f>
        <v>0</v>
      </c>
      <c r="O104" s="98">
        <f>$L88*O42</f>
        <v>0</v>
      </c>
      <c r="P104" s="98">
        <f>$L88*P42</f>
        <v>0</v>
      </c>
      <c r="Q104" s="98">
        <f>$L88*Q42</f>
        <v>0</v>
      </c>
      <c r="R104" s="98">
        <f>$L88*R42</f>
        <v>0</v>
      </c>
      <c r="S104" s="98">
        <f t="shared" ref="S104:AC104" si="18">$L88*S42</f>
        <v>0</v>
      </c>
      <c r="T104" s="98">
        <f t="shared" si="18"/>
        <v>0</v>
      </c>
      <c r="U104" s="98">
        <f t="shared" si="18"/>
        <v>0</v>
      </c>
      <c r="V104" s="98">
        <f t="shared" si="18"/>
        <v>0</v>
      </c>
      <c r="W104" s="98">
        <f t="shared" si="18"/>
        <v>0</v>
      </c>
      <c r="X104" s="98">
        <f t="shared" si="18"/>
        <v>0</v>
      </c>
      <c r="Y104" s="98">
        <f t="shared" si="18"/>
        <v>0</v>
      </c>
      <c r="Z104" s="98">
        <f t="shared" si="18"/>
        <v>0</v>
      </c>
      <c r="AA104" s="98">
        <f t="shared" si="18"/>
        <v>0</v>
      </c>
      <c r="AB104" s="98">
        <f t="shared" si="18"/>
        <v>0</v>
      </c>
      <c r="AC104" s="98">
        <f t="shared" si="18"/>
        <v>0</v>
      </c>
    </row>
    <row r="105" spans="1:29" s="30" customFormat="1" x14ac:dyDescent="0.3">
      <c r="A105" s="31"/>
      <c r="B105" s="31"/>
      <c r="C105" s="93"/>
      <c r="D105" s="85" t="str">
        <f t="shared" si="11"/>
        <v>Forklift, 18000 lb, electric</v>
      </c>
      <c r="E105" s="85" t="s">
        <v>356</v>
      </c>
      <c r="G105" s="11">
        <f t="shared" si="12"/>
        <v>1.0902528000000002</v>
      </c>
      <c r="I105" s="98">
        <f t="shared" ref="I105:AC105" si="19">$L89*I43/2000</f>
        <v>0</v>
      </c>
      <c r="J105" s="98">
        <f t="shared" ref="J105:AC105" si="20">$L89*J43/2000</f>
        <v>2.7955200000000003E-2</v>
      </c>
      <c r="K105" s="98">
        <f t="shared" si="20"/>
        <v>5.5910400000000006E-2</v>
      </c>
      <c r="L105" s="98">
        <f t="shared" si="20"/>
        <v>5.5910400000000006E-2</v>
      </c>
      <c r="M105" s="98">
        <f t="shared" si="20"/>
        <v>5.5910400000000006E-2</v>
      </c>
      <c r="N105" s="98">
        <f t="shared" si="20"/>
        <v>5.5910400000000006E-2</v>
      </c>
      <c r="O105" s="98">
        <f t="shared" si="20"/>
        <v>5.5910400000000006E-2</v>
      </c>
      <c r="P105" s="98">
        <f t="shared" si="20"/>
        <v>5.5910400000000006E-2</v>
      </c>
      <c r="Q105" s="98">
        <f t="shared" si="20"/>
        <v>5.5910400000000006E-2</v>
      </c>
      <c r="R105" s="98">
        <f t="shared" si="20"/>
        <v>5.5910400000000006E-2</v>
      </c>
      <c r="S105" s="98">
        <f t="shared" si="20"/>
        <v>5.5910400000000006E-2</v>
      </c>
      <c r="T105" s="98">
        <f t="shared" si="20"/>
        <v>5.5910400000000006E-2</v>
      </c>
      <c r="U105" s="98">
        <f t="shared" si="20"/>
        <v>5.5910400000000006E-2</v>
      </c>
      <c r="V105" s="98">
        <f t="shared" si="20"/>
        <v>5.5910400000000006E-2</v>
      </c>
      <c r="W105" s="98">
        <f t="shared" si="20"/>
        <v>5.5910400000000006E-2</v>
      </c>
      <c r="X105" s="98">
        <f t="shared" si="20"/>
        <v>5.5910400000000006E-2</v>
      </c>
      <c r="Y105" s="98">
        <f t="shared" si="20"/>
        <v>5.5910400000000006E-2</v>
      </c>
      <c r="Z105" s="98">
        <f t="shared" si="20"/>
        <v>5.5910400000000006E-2</v>
      </c>
      <c r="AA105" s="98">
        <f t="shared" si="20"/>
        <v>5.5910400000000006E-2</v>
      </c>
      <c r="AB105" s="98">
        <f t="shared" si="20"/>
        <v>5.5910400000000006E-2</v>
      </c>
      <c r="AC105" s="98">
        <f t="shared" si="20"/>
        <v>5.5910400000000006E-2</v>
      </c>
    </row>
    <row r="106" spans="1:29" s="30" customFormat="1" x14ac:dyDescent="0.3">
      <c r="A106" s="31"/>
      <c r="B106" s="31"/>
      <c r="C106" s="93"/>
      <c r="D106" s="85" t="str">
        <f t="shared" si="11"/>
        <v>Forklift, 36000 lb, diesel</v>
      </c>
      <c r="E106" s="85" t="s">
        <v>356</v>
      </c>
      <c r="G106" s="11">
        <f t="shared" si="12"/>
        <v>4.2674667510198585</v>
      </c>
      <c r="I106" s="98">
        <f>L90*I44</f>
        <v>4.1847474665884867</v>
      </c>
      <c r="J106" s="98">
        <f>M90*J44</f>
        <v>8.2719284431371873E-2</v>
      </c>
      <c r="K106" s="98">
        <f>N90*K44</f>
        <v>0</v>
      </c>
      <c r="L106" s="98">
        <f>O90*L44</f>
        <v>0</v>
      </c>
      <c r="M106" s="98">
        <f>P90*M44</f>
        <v>0</v>
      </c>
      <c r="N106" s="98">
        <f>Q90*N44</f>
        <v>0</v>
      </c>
      <c r="O106" s="98">
        <f>R90*O44</f>
        <v>0</v>
      </c>
      <c r="P106" s="98">
        <f>S90*P44</f>
        <v>0</v>
      </c>
      <c r="Q106" s="98">
        <f>T90*Q44</f>
        <v>0</v>
      </c>
      <c r="R106" s="98">
        <f>U90*R44</f>
        <v>0</v>
      </c>
      <c r="S106" s="98">
        <f t="shared" ref="S106:AC106" si="21">V90*S44</f>
        <v>0</v>
      </c>
      <c r="T106" s="98">
        <f t="shared" si="21"/>
        <v>0</v>
      </c>
      <c r="U106" s="98">
        <f t="shared" si="21"/>
        <v>0</v>
      </c>
      <c r="V106" s="98">
        <f t="shared" si="21"/>
        <v>0</v>
      </c>
      <c r="W106" s="98">
        <f t="shared" si="21"/>
        <v>0</v>
      </c>
      <c r="X106" s="98">
        <f t="shared" si="21"/>
        <v>0</v>
      </c>
      <c r="Y106" s="98">
        <f t="shared" si="21"/>
        <v>0</v>
      </c>
      <c r="Z106" s="98">
        <f t="shared" si="21"/>
        <v>0</v>
      </c>
      <c r="AA106" s="98">
        <f t="shared" si="21"/>
        <v>0</v>
      </c>
      <c r="AB106" s="98">
        <f t="shared" si="21"/>
        <v>0</v>
      </c>
      <c r="AC106" s="98">
        <f t="shared" si="21"/>
        <v>0</v>
      </c>
    </row>
    <row r="107" spans="1:29" s="30" customFormat="1" x14ac:dyDescent="0.3">
      <c r="A107" s="31"/>
      <c r="B107" s="31"/>
      <c r="C107" s="93"/>
      <c r="D107" s="85" t="str">
        <f t="shared" si="11"/>
        <v>Forklift, 36000 lb, electric</v>
      </c>
      <c r="E107" s="85" t="s">
        <v>356</v>
      </c>
      <c r="G107" s="11">
        <f t="shared" si="12"/>
        <v>1.3767935999999994</v>
      </c>
      <c r="I107" s="98">
        <f t="shared" ref="I107:AC107" si="22">$L91*I45/2000</f>
        <v>6.9887999999999999E-3</v>
      </c>
      <c r="J107" s="98">
        <f t="shared" ref="J107:AC107" si="23">$L91*J45/2000</f>
        <v>4.1932799999999992E-2</v>
      </c>
      <c r="K107" s="98">
        <f t="shared" si="23"/>
        <v>6.9887999999999992E-2</v>
      </c>
      <c r="L107" s="98">
        <f t="shared" si="23"/>
        <v>6.9887999999999992E-2</v>
      </c>
      <c r="M107" s="98">
        <f t="shared" si="23"/>
        <v>6.9887999999999992E-2</v>
      </c>
      <c r="N107" s="98">
        <f t="shared" si="23"/>
        <v>6.9887999999999992E-2</v>
      </c>
      <c r="O107" s="98">
        <f t="shared" si="23"/>
        <v>6.9887999999999992E-2</v>
      </c>
      <c r="P107" s="98">
        <f t="shared" si="23"/>
        <v>6.9887999999999992E-2</v>
      </c>
      <c r="Q107" s="98">
        <f t="shared" si="23"/>
        <v>6.9887999999999992E-2</v>
      </c>
      <c r="R107" s="98">
        <f t="shared" si="23"/>
        <v>6.9887999999999992E-2</v>
      </c>
      <c r="S107" s="98">
        <f t="shared" si="23"/>
        <v>6.9887999999999992E-2</v>
      </c>
      <c r="T107" s="98">
        <f t="shared" si="23"/>
        <v>6.9887999999999992E-2</v>
      </c>
      <c r="U107" s="98">
        <f t="shared" si="23"/>
        <v>6.9887999999999992E-2</v>
      </c>
      <c r="V107" s="98">
        <f t="shared" si="23"/>
        <v>6.9887999999999992E-2</v>
      </c>
      <c r="W107" s="98">
        <f t="shared" si="23"/>
        <v>6.9887999999999992E-2</v>
      </c>
      <c r="X107" s="98">
        <f t="shared" si="23"/>
        <v>6.9887999999999992E-2</v>
      </c>
      <c r="Y107" s="98">
        <f t="shared" si="23"/>
        <v>6.9887999999999992E-2</v>
      </c>
      <c r="Z107" s="98">
        <f t="shared" si="23"/>
        <v>6.9887999999999992E-2</v>
      </c>
      <c r="AA107" s="98">
        <f t="shared" si="23"/>
        <v>6.9887999999999992E-2</v>
      </c>
      <c r="AB107" s="98">
        <f t="shared" si="23"/>
        <v>6.9887999999999992E-2</v>
      </c>
      <c r="AC107" s="98">
        <f t="shared" si="23"/>
        <v>6.9887999999999992E-2</v>
      </c>
    </row>
    <row r="108" spans="1:29" s="30" customFormat="1" x14ac:dyDescent="0.3">
      <c r="A108" s="31"/>
      <c r="B108" s="31"/>
      <c r="C108" s="93"/>
      <c r="D108" s="85" t="str">
        <f t="shared" si="11"/>
        <v>Yard Tractor, Diesel</v>
      </c>
      <c r="E108" s="85" t="s">
        <v>356</v>
      </c>
      <c r="G108" s="11">
        <f t="shared" si="12"/>
        <v>1.6759222742166049</v>
      </c>
      <c r="I108" s="98">
        <f>$L92*I46</f>
        <v>1.1602538821499573</v>
      </c>
      <c r="J108" s="98">
        <f>$L92*J46</f>
        <v>0.51566839206664772</v>
      </c>
      <c r="K108" s="98">
        <f>$L92*K46</f>
        <v>0</v>
      </c>
      <c r="L108" s="98">
        <f>$L92*L46</f>
        <v>0</v>
      </c>
      <c r="M108" s="98">
        <f>$L92*M46</f>
        <v>0</v>
      </c>
      <c r="N108" s="98">
        <f>$L92*N46</f>
        <v>0</v>
      </c>
      <c r="O108" s="98">
        <f>$L92*O46</f>
        <v>0</v>
      </c>
      <c r="P108" s="98">
        <f>$L92*P46</f>
        <v>0</v>
      </c>
      <c r="Q108" s="98">
        <f>$L92*Q46</f>
        <v>0</v>
      </c>
      <c r="R108" s="98">
        <f>$L92*R46</f>
        <v>0</v>
      </c>
      <c r="S108" s="98">
        <f t="shared" ref="S108:AC108" si="24">$L92*S46</f>
        <v>0</v>
      </c>
      <c r="T108" s="98">
        <f t="shared" si="24"/>
        <v>0</v>
      </c>
      <c r="U108" s="98">
        <f t="shared" si="24"/>
        <v>0</v>
      </c>
      <c r="V108" s="98">
        <f t="shared" si="24"/>
        <v>0</v>
      </c>
      <c r="W108" s="98">
        <f t="shared" si="24"/>
        <v>0</v>
      </c>
      <c r="X108" s="98">
        <f t="shared" si="24"/>
        <v>0</v>
      </c>
      <c r="Y108" s="98">
        <f t="shared" si="24"/>
        <v>0</v>
      </c>
      <c r="Z108" s="98">
        <f t="shared" si="24"/>
        <v>0</v>
      </c>
      <c r="AA108" s="98">
        <f t="shared" si="24"/>
        <v>0</v>
      </c>
      <c r="AB108" s="98">
        <f t="shared" si="24"/>
        <v>0</v>
      </c>
      <c r="AC108" s="98">
        <f t="shared" si="24"/>
        <v>0</v>
      </c>
    </row>
    <row r="109" spans="1:29" s="30" customFormat="1" x14ac:dyDescent="0.3">
      <c r="A109" s="31"/>
      <c r="B109" s="31"/>
      <c r="C109" s="93"/>
      <c r="D109" s="85" t="str">
        <f t="shared" si="11"/>
        <v>Yard Tractor, electric</v>
      </c>
      <c r="E109" s="85" t="s">
        <v>356</v>
      </c>
      <c r="G109" s="11">
        <f t="shared" si="12"/>
        <v>1.4253863152941173</v>
      </c>
      <c r="I109" s="98">
        <f t="shared" ref="I109:AC109" si="25">$L93*I47/2000</f>
        <v>7.2354635294117628E-3</v>
      </c>
      <c r="J109" s="98">
        <f t="shared" ref="J109:AC109" si="26">$L93*J47/2000</f>
        <v>4.3412781176470572E-2</v>
      </c>
      <c r="K109" s="98">
        <f t="shared" si="26"/>
        <v>7.2354635294117634E-2</v>
      </c>
      <c r="L109" s="98">
        <f t="shared" si="26"/>
        <v>7.2354635294117634E-2</v>
      </c>
      <c r="M109" s="98">
        <f t="shared" si="26"/>
        <v>7.2354635294117634E-2</v>
      </c>
      <c r="N109" s="98">
        <f t="shared" si="26"/>
        <v>7.2354635294117634E-2</v>
      </c>
      <c r="O109" s="98">
        <f t="shared" si="26"/>
        <v>7.2354635294117634E-2</v>
      </c>
      <c r="P109" s="98">
        <f t="shared" si="26"/>
        <v>7.2354635294117634E-2</v>
      </c>
      <c r="Q109" s="98">
        <f t="shared" si="26"/>
        <v>7.2354635294117634E-2</v>
      </c>
      <c r="R109" s="98">
        <f t="shared" si="26"/>
        <v>7.2354635294117634E-2</v>
      </c>
      <c r="S109" s="98">
        <f t="shared" si="26"/>
        <v>7.2354635294117634E-2</v>
      </c>
      <c r="T109" s="98">
        <f t="shared" si="26"/>
        <v>7.2354635294117634E-2</v>
      </c>
      <c r="U109" s="98">
        <f t="shared" si="26"/>
        <v>7.2354635294117634E-2</v>
      </c>
      <c r="V109" s="98">
        <f t="shared" si="26"/>
        <v>7.2354635294117634E-2</v>
      </c>
      <c r="W109" s="98">
        <f t="shared" si="26"/>
        <v>7.2354635294117634E-2</v>
      </c>
      <c r="X109" s="98">
        <f t="shared" si="26"/>
        <v>7.2354635294117634E-2</v>
      </c>
      <c r="Y109" s="98">
        <f t="shared" si="26"/>
        <v>7.2354635294117634E-2</v>
      </c>
      <c r="Z109" s="98">
        <f t="shared" si="26"/>
        <v>7.2354635294117634E-2</v>
      </c>
      <c r="AA109" s="98">
        <f t="shared" si="26"/>
        <v>7.2354635294117634E-2</v>
      </c>
      <c r="AB109" s="98">
        <f t="shared" si="26"/>
        <v>7.2354635294117634E-2</v>
      </c>
      <c r="AC109" s="98">
        <f t="shared" si="26"/>
        <v>7.2354635294117634E-2</v>
      </c>
    </row>
    <row r="110" spans="1:29" s="30" customFormat="1" x14ac:dyDescent="0.3">
      <c r="A110" s="31"/>
      <c r="B110" s="31"/>
      <c r="C110" s="93"/>
      <c r="D110" s="85" t="str">
        <f t="shared" si="11"/>
        <v>Reefer Power Packs, 30 plugs, dual engine, Tier 3, 400 HP CAT</v>
      </c>
      <c r="E110" s="85" t="s">
        <v>356</v>
      </c>
      <c r="G110" s="11">
        <f t="shared" si="12"/>
        <v>7.5225637960839435</v>
      </c>
      <c r="I110" s="98">
        <f>$L94*I48</f>
        <v>3.7612818980419718</v>
      </c>
      <c r="J110" s="98">
        <f>$L94*J48</f>
        <v>3.7612818980419718</v>
      </c>
      <c r="K110" s="98">
        <f>$L94*K48</f>
        <v>0</v>
      </c>
      <c r="L110" s="98">
        <f>$L94*L48</f>
        <v>0</v>
      </c>
      <c r="M110" s="98">
        <f>$L94*M48</f>
        <v>0</v>
      </c>
      <c r="N110" s="98">
        <f>$L94*N48</f>
        <v>0</v>
      </c>
      <c r="O110" s="98">
        <f>$L94*O48</f>
        <v>0</v>
      </c>
      <c r="P110" s="98">
        <f>$L94*P48</f>
        <v>0</v>
      </c>
      <c r="Q110" s="98">
        <f>$L94*Q48</f>
        <v>0</v>
      </c>
      <c r="R110" s="98">
        <f>$L94*R48</f>
        <v>0</v>
      </c>
      <c r="S110" s="98">
        <f t="shared" ref="S110:AC110" si="27">$L94*S48</f>
        <v>0</v>
      </c>
      <c r="T110" s="98">
        <f t="shared" si="27"/>
        <v>0</v>
      </c>
      <c r="U110" s="98">
        <f t="shared" si="27"/>
        <v>0</v>
      </c>
      <c r="V110" s="98">
        <f t="shared" si="27"/>
        <v>0</v>
      </c>
      <c r="W110" s="98">
        <f t="shared" si="27"/>
        <v>0</v>
      </c>
      <c r="X110" s="98">
        <f t="shared" si="27"/>
        <v>0</v>
      </c>
      <c r="Y110" s="98">
        <f t="shared" si="27"/>
        <v>0</v>
      </c>
      <c r="Z110" s="98">
        <f t="shared" si="27"/>
        <v>0</v>
      </c>
      <c r="AA110" s="98">
        <f t="shared" si="27"/>
        <v>0</v>
      </c>
      <c r="AB110" s="98">
        <f t="shared" si="27"/>
        <v>0</v>
      </c>
      <c r="AC110" s="98">
        <f t="shared" si="27"/>
        <v>0</v>
      </c>
    </row>
    <row r="111" spans="1:29" s="30" customFormat="1" x14ac:dyDescent="0.3">
      <c r="A111" s="31"/>
      <c r="B111" s="31"/>
      <c r="C111" s="93"/>
      <c r="D111" s="85" t="str">
        <f t="shared" si="11"/>
        <v>Reefer Power Packs, 30 plugs, single engine, Tier 3 400 HP CAT</v>
      </c>
      <c r="E111" s="85" t="s">
        <v>356</v>
      </c>
      <c r="G111" s="11">
        <f t="shared" si="12"/>
        <v>3.0774124620343404</v>
      </c>
      <c r="I111" s="98">
        <f>$L95*I49</f>
        <v>3.0774124620343404</v>
      </c>
      <c r="J111" s="98">
        <f>$L95*J49</f>
        <v>0</v>
      </c>
      <c r="K111" s="98">
        <f>$L95*K49</f>
        <v>0</v>
      </c>
      <c r="L111" s="98">
        <f>$L95*L49</f>
        <v>0</v>
      </c>
      <c r="M111" s="98">
        <f>$L95*M49</f>
        <v>0</v>
      </c>
      <c r="N111" s="98">
        <f>$L95*N49</f>
        <v>0</v>
      </c>
      <c r="O111" s="98">
        <f>$L95*O49</f>
        <v>0</v>
      </c>
      <c r="P111" s="98">
        <f>$L95*P49</f>
        <v>0</v>
      </c>
      <c r="Q111" s="98">
        <f>$L95*Q49</f>
        <v>0</v>
      </c>
      <c r="R111" s="98">
        <f>$L95*R49</f>
        <v>0</v>
      </c>
      <c r="S111" s="98">
        <f t="shared" ref="S111:AC111" si="28">$L95*S49</f>
        <v>0</v>
      </c>
      <c r="T111" s="98">
        <f t="shared" si="28"/>
        <v>0</v>
      </c>
      <c r="U111" s="98">
        <f t="shared" si="28"/>
        <v>0</v>
      </c>
      <c r="V111" s="98">
        <f t="shared" si="28"/>
        <v>0</v>
      </c>
      <c r="W111" s="98">
        <f t="shared" si="28"/>
        <v>0</v>
      </c>
      <c r="X111" s="98">
        <f t="shared" si="28"/>
        <v>0</v>
      </c>
      <c r="Y111" s="98">
        <f t="shared" si="28"/>
        <v>0</v>
      </c>
      <c r="Z111" s="98">
        <f t="shared" si="28"/>
        <v>0</v>
      </c>
      <c r="AA111" s="98">
        <f t="shared" si="28"/>
        <v>0</v>
      </c>
      <c r="AB111" s="98">
        <f t="shared" si="28"/>
        <v>0</v>
      </c>
      <c r="AC111" s="98">
        <f t="shared" si="28"/>
        <v>0</v>
      </c>
    </row>
    <row r="112" spans="1:29" s="30" customFormat="1" x14ac:dyDescent="0.3">
      <c r="A112" s="31"/>
      <c r="B112" s="31"/>
      <c r="C112" s="93"/>
      <c r="D112" s="85" t="str">
        <f t="shared" si="11"/>
        <v>Nose Mount genset 1 plug, single engine, Tier 3, 32-34HP, Kubota / Carrier or Yanmar</v>
      </c>
      <c r="E112" s="85" t="s">
        <v>356</v>
      </c>
      <c r="G112" s="11">
        <f t="shared" si="12"/>
        <v>15.090953672273292</v>
      </c>
      <c r="I112" s="98">
        <f>$L96*I50</f>
        <v>15.090953672273292</v>
      </c>
      <c r="J112" s="98">
        <f>$L96*J50</f>
        <v>0</v>
      </c>
      <c r="K112" s="98">
        <f>$L96*K50</f>
        <v>0</v>
      </c>
      <c r="L112" s="98">
        <f>$L96*L50</f>
        <v>0</v>
      </c>
      <c r="M112" s="98">
        <f>$L96*M50</f>
        <v>0</v>
      </c>
      <c r="N112" s="98">
        <f>$L96*N50</f>
        <v>0</v>
      </c>
      <c r="O112" s="98">
        <f>$L96*O50</f>
        <v>0</v>
      </c>
      <c r="P112" s="98">
        <f>$L96*P50</f>
        <v>0</v>
      </c>
      <c r="Q112" s="98">
        <f>$L96*Q50</f>
        <v>0</v>
      </c>
      <c r="R112" s="98">
        <f>$L96*R50</f>
        <v>0</v>
      </c>
      <c r="S112" s="98">
        <f t="shared" ref="S112:AC112" si="29">$L96*S50</f>
        <v>0</v>
      </c>
      <c r="T112" s="98">
        <f t="shared" si="29"/>
        <v>0</v>
      </c>
      <c r="U112" s="98">
        <f t="shared" si="29"/>
        <v>0</v>
      </c>
      <c r="V112" s="98">
        <f t="shared" si="29"/>
        <v>0</v>
      </c>
      <c r="W112" s="98">
        <f t="shared" si="29"/>
        <v>0</v>
      </c>
      <c r="X112" s="98">
        <f t="shared" si="29"/>
        <v>0</v>
      </c>
      <c r="Y112" s="98">
        <f t="shared" si="29"/>
        <v>0</v>
      </c>
      <c r="Z112" s="98">
        <f t="shared" si="29"/>
        <v>0</v>
      </c>
      <c r="AA112" s="98">
        <f t="shared" si="29"/>
        <v>0</v>
      </c>
      <c r="AB112" s="98">
        <f t="shared" si="29"/>
        <v>0</v>
      </c>
      <c r="AC112" s="98">
        <f t="shared" si="29"/>
        <v>0</v>
      </c>
    </row>
    <row r="113" spans="1:29" s="30" customFormat="1" x14ac:dyDescent="0.3">
      <c r="A113" s="31"/>
      <c r="B113" s="31"/>
      <c r="C113" s="93"/>
      <c r="D113" s="30" t="s">
        <v>357</v>
      </c>
      <c r="E113" s="85" t="s">
        <v>356</v>
      </c>
      <c r="G113" s="11">
        <f t="shared" si="12"/>
        <v>13.387797799199994</v>
      </c>
      <c r="I113" s="98">
        <f t="shared" ref="I113:AC113" si="30">$L97*I51/2000</f>
        <v>0.24868974239999997</v>
      </c>
      <c r="J113" s="98">
        <f t="shared" ref="J113:AC113" si="31">$L97*J51/2000</f>
        <v>0.53882777519999991</v>
      </c>
      <c r="K113" s="98">
        <f t="shared" si="31"/>
        <v>0.66317264639999995</v>
      </c>
      <c r="L113" s="98">
        <f t="shared" si="31"/>
        <v>0.66317264639999995</v>
      </c>
      <c r="M113" s="98">
        <f t="shared" si="31"/>
        <v>0.66317264639999995</v>
      </c>
      <c r="N113" s="98">
        <f t="shared" si="31"/>
        <v>0.66317264639999995</v>
      </c>
      <c r="O113" s="98">
        <f t="shared" si="31"/>
        <v>0.66317264639999995</v>
      </c>
      <c r="P113" s="98">
        <f t="shared" si="31"/>
        <v>0.66317264639999995</v>
      </c>
      <c r="Q113" s="98">
        <f t="shared" si="31"/>
        <v>0.66317264639999995</v>
      </c>
      <c r="R113" s="98">
        <f t="shared" si="31"/>
        <v>0.66317264639999995</v>
      </c>
      <c r="S113" s="98">
        <f t="shared" si="31"/>
        <v>0.66317264639999995</v>
      </c>
      <c r="T113" s="98">
        <f t="shared" si="31"/>
        <v>0.66317264639999995</v>
      </c>
      <c r="U113" s="98">
        <f t="shared" si="31"/>
        <v>0.66317264639999995</v>
      </c>
      <c r="V113" s="98">
        <f t="shared" si="31"/>
        <v>0.66317264639999995</v>
      </c>
      <c r="W113" s="98">
        <f t="shared" si="31"/>
        <v>0.66317264639999995</v>
      </c>
      <c r="X113" s="98">
        <f t="shared" si="31"/>
        <v>0.66317264639999995</v>
      </c>
      <c r="Y113" s="98">
        <f t="shared" si="31"/>
        <v>0.66317264639999995</v>
      </c>
      <c r="Z113" s="98">
        <f t="shared" si="31"/>
        <v>0.66317264639999995</v>
      </c>
      <c r="AA113" s="98">
        <f t="shared" si="31"/>
        <v>0.66317264639999995</v>
      </c>
      <c r="AB113" s="98">
        <f t="shared" si="31"/>
        <v>0.66317264639999995</v>
      </c>
      <c r="AC113" s="98">
        <f t="shared" si="31"/>
        <v>0.66317264639999995</v>
      </c>
    </row>
    <row r="114" spans="1:29" s="31" customFormat="1" x14ac:dyDescent="0.3">
      <c r="C114" s="93"/>
      <c r="D114" s="31" t="s">
        <v>9</v>
      </c>
      <c r="E114" s="31" t="s">
        <v>356</v>
      </c>
      <c r="G114" s="72">
        <f t="shared" si="12"/>
        <v>172.57928213033324</v>
      </c>
      <c r="I114" s="75">
        <f t="shared" ref="I114:AC114" si="32">SUM(I100:I113)</f>
        <v>76.502798299683292</v>
      </c>
      <c r="J114" s="75">
        <f t="shared" si="32"/>
        <v>40.373058900561034</v>
      </c>
      <c r="K114" s="75">
        <f t="shared" si="32"/>
        <v>15.699203770437238</v>
      </c>
      <c r="L114" s="75">
        <f t="shared" si="32"/>
        <v>10.978315682532193</v>
      </c>
      <c r="M114" s="75">
        <f t="shared" si="32"/>
        <v>6.2574202723369341</v>
      </c>
      <c r="N114" s="75">
        <f t="shared" si="32"/>
        <v>2.9023111266333821</v>
      </c>
      <c r="O114" s="75">
        <f t="shared" si="32"/>
        <v>1.3244116052099479</v>
      </c>
      <c r="P114" s="75">
        <f t="shared" si="32"/>
        <v>1.3244116052099479</v>
      </c>
      <c r="Q114" s="75">
        <f t="shared" si="32"/>
        <v>1.3244116052099479</v>
      </c>
      <c r="R114" s="75">
        <f t="shared" si="32"/>
        <v>1.3244116052099479</v>
      </c>
      <c r="S114" s="75">
        <f t="shared" si="32"/>
        <v>1.3244116052099479</v>
      </c>
      <c r="T114" s="75">
        <f t="shared" si="32"/>
        <v>1.3244116052099479</v>
      </c>
      <c r="U114" s="75">
        <f t="shared" si="32"/>
        <v>1.3244116052099479</v>
      </c>
      <c r="V114" s="75">
        <f t="shared" si="32"/>
        <v>1.3244116052099479</v>
      </c>
      <c r="W114" s="75">
        <f t="shared" si="32"/>
        <v>1.3244116052099479</v>
      </c>
      <c r="X114" s="75">
        <f t="shared" si="32"/>
        <v>1.3244116052099479</v>
      </c>
      <c r="Y114" s="75">
        <f t="shared" si="32"/>
        <v>1.3244116052099479</v>
      </c>
      <c r="Z114" s="75">
        <f t="shared" si="32"/>
        <v>1.3244116052099479</v>
      </c>
      <c r="AA114" s="75">
        <f t="shared" si="32"/>
        <v>1.3244116052099479</v>
      </c>
      <c r="AB114" s="75">
        <f t="shared" si="32"/>
        <v>1.3244116052099479</v>
      </c>
      <c r="AC114" s="75">
        <f t="shared" si="32"/>
        <v>1.3244116052099479</v>
      </c>
    </row>
    <row r="115" spans="1:29" s="30" customFormat="1" x14ac:dyDescent="0.3">
      <c r="A115" s="31"/>
      <c r="B115" s="31"/>
      <c r="C115" s="31"/>
      <c r="G115" s="7"/>
    </row>
    <row r="116" spans="1:29" s="30" customFormat="1" x14ac:dyDescent="0.3">
      <c r="A116" s="31"/>
      <c r="B116" s="31"/>
      <c r="C116" s="93" t="s">
        <v>376</v>
      </c>
      <c r="D116" s="31" t="s">
        <v>359</v>
      </c>
      <c r="G116" s="7"/>
    </row>
    <row r="117" spans="1:29" s="30" customFormat="1" x14ac:dyDescent="0.3">
      <c r="A117" s="31"/>
      <c r="B117" s="31"/>
      <c r="C117" s="93"/>
      <c r="D117" s="30" t="str">
        <f t="shared" ref="D117:E131" si="33">D100</f>
        <v>Top Pick</v>
      </c>
      <c r="E117" s="85" t="str">
        <f t="shared" si="33"/>
        <v>tons/yr</v>
      </c>
      <c r="G117" s="11">
        <f>SUM(I117:AC117)</f>
        <v>2.4452601057803518</v>
      </c>
      <c r="I117" s="98">
        <f>I$340*I$38</f>
        <v>0.84536457935014164</v>
      </c>
      <c r="J117" s="98">
        <f t="shared" ref="J117:AC117" si="34">J$340*J$38</f>
        <v>0.6321614269835224</v>
      </c>
      <c r="K117" s="98">
        <f t="shared" si="34"/>
        <v>0.28375748273343254</v>
      </c>
      <c r="L117" s="98">
        <f t="shared" si="34"/>
        <v>0.19960558136953638</v>
      </c>
      <c r="M117" s="98">
        <f t="shared" si="34"/>
        <v>0.11203349000354497</v>
      </c>
      <c r="N117" s="98">
        <f t="shared" si="34"/>
        <v>5.1668607480131579E-2</v>
      </c>
      <c r="O117" s="98">
        <f t="shared" si="34"/>
        <v>2.1377929190669717E-2</v>
      </c>
      <c r="P117" s="98">
        <f t="shared" si="34"/>
        <v>2.1377929190669717E-2</v>
      </c>
      <c r="Q117" s="98">
        <f t="shared" si="34"/>
        <v>2.1377929190669717E-2</v>
      </c>
      <c r="R117" s="98">
        <f t="shared" si="34"/>
        <v>2.1377929190669717E-2</v>
      </c>
      <c r="S117" s="98">
        <f t="shared" si="34"/>
        <v>2.1377929190669717E-2</v>
      </c>
      <c r="T117" s="98">
        <f t="shared" si="34"/>
        <v>2.1377929190669717E-2</v>
      </c>
      <c r="U117" s="98">
        <f t="shared" si="34"/>
        <v>2.1377929190669717E-2</v>
      </c>
      <c r="V117" s="98">
        <f t="shared" si="34"/>
        <v>2.1377929190669717E-2</v>
      </c>
      <c r="W117" s="98">
        <f t="shared" si="34"/>
        <v>2.1377929190669717E-2</v>
      </c>
      <c r="X117" s="98">
        <f t="shared" si="34"/>
        <v>2.1377929190669717E-2</v>
      </c>
      <c r="Y117" s="98">
        <f t="shared" si="34"/>
        <v>2.1377929190669717E-2</v>
      </c>
      <c r="Z117" s="98">
        <f t="shared" si="34"/>
        <v>2.1377929190669717E-2</v>
      </c>
      <c r="AA117" s="98">
        <f t="shared" si="34"/>
        <v>2.1377929190669717E-2</v>
      </c>
      <c r="AB117" s="98">
        <f t="shared" si="34"/>
        <v>2.1377929190669717E-2</v>
      </c>
      <c r="AC117" s="98">
        <f t="shared" si="34"/>
        <v>2.1377929190669717E-2</v>
      </c>
    </row>
    <row r="118" spans="1:29" s="30" customFormat="1" x14ac:dyDescent="0.3">
      <c r="A118" s="31"/>
      <c r="B118" s="31"/>
      <c r="C118" s="93"/>
      <c r="D118" s="85" t="str">
        <f t="shared" si="33"/>
        <v>RTGs, Hybrid</v>
      </c>
      <c r="E118" s="85" t="str">
        <f t="shared" si="33"/>
        <v>tons/yr</v>
      </c>
      <c r="G118" s="11">
        <f>SUM(I118:AC118)</f>
        <v>0.20559650860330747</v>
      </c>
      <c r="I118" s="98">
        <f>$M$85*I$39</f>
        <v>1.7423432932483693E-3</v>
      </c>
      <c r="J118" s="98">
        <f t="shared" ref="J118:AC118" si="35">$M$85*J$39</f>
        <v>5.2270298797451077E-3</v>
      </c>
      <c r="K118" s="98">
        <f t="shared" si="35"/>
        <v>1.0454059759490215E-2</v>
      </c>
      <c r="L118" s="98">
        <f t="shared" si="35"/>
        <v>1.0454059759490215E-2</v>
      </c>
      <c r="M118" s="98">
        <f t="shared" si="35"/>
        <v>1.0454059759490215E-2</v>
      </c>
      <c r="N118" s="98">
        <f t="shared" si="35"/>
        <v>1.0454059759490215E-2</v>
      </c>
      <c r="O118" s="98">
        <f t="shared" si="35"/>
        <v>1.0454059759490215E-2</v>
      </c>
      <c r="P118" s="98">
        <f t="shared" si="35"/>
        <v>1.0454059759490215E-2</v>
      </c>
      <c r="Q118" s="98">
        <f t="shared" si="35"/>
        <v>1.0454059759490215E-2</v>
      </c>
      <c r="R118" s="98">
        <f t="shared" si="35"/>
        <v>1.0454059759490215E-2</v>
      </c>
      <c r="S118" s="98">
        <f t="shared" si="35"/>
        <v>1.0454059759490215E-2</v>
      </c>
      <c r="T118" s="98">
        <f t="shared" si="35"/>
        <v>1.0454059759490215E-2</v>
      </c>
      <c r="U118" s="98">
        <f t="shared" si="35"/>
        <v>1.0454059759490215E-2</v>
      </c>
      <c r="V118" s="98">
        <f t="shared" si="35"/>
        <v>1.0454059759490215E-2</v>
      </c>
      <c r="W118" s="98">
        <f t="shared" si="35"/>
        <v>1.0454059759490215E-2</v>
      </c>
      <c r="X118" s="98">
        <f t="shared" si="35"/>
        <v>1.0454059759490215E-2</v>
      </c>
      <c r="Y118" s="98">
        <f t="shared" si="35"/>
        <v>1.0454059759490215E-2</v>
      </c>
      <c r="Z118" s="98">
        <f t="shared" si="35"/>
        <v>1.0454059759490215E-2</v>
      </c>
      <c r="AA118" s="98">
        <f t="shared" si="35"/>
        <v>1.0454059759490215E-2</v>
      </c>
      <c r="AB118" s="98">
        <f t="shared" si="35"/>
        <v>1.0454059759490215E-2</v>
      </c>
      <c r="AC118" s="98">
        <f t="shared" si="35"/>
        <v>1.0454059759490215E-2</v>
      </c>
    </row>
    <row r="119" spans="1:29" s="30" customFormat="1" x14ac:dyDescent="0.3">
      <c r="A119" s="31"/>
      <c r="B119" s="31"/>
      <c r="C119" s="93"/>
      <c r="D119" s="85" t="str">
        <f t="shared" si="33"/>
        <v>Forklift, 10000 lb, Diesel</v>
      </c>
      <c r="E119" s="85" t="str">
        <f t="shared" si="33"/>
        <v>tons/yr</v>
      </c>
      <c r="G119" s="11">
        <f t="shared" ref="G117:G131" si="36">SUM(I119:AC119)</f>
        <v>1.8168055969351657E-2</v>
      </c>
      <c r="I119" s="98">
        <f>$M86*I40</f>
        <v>1.2577884901858839E-2</v>
      </c>
      <c r="J119" s="98">
        <f t="shared" ref="J119:AC119" si="37">$M86*J40</f>
        <v>5.5901710674928174E-3</v>
      </c>
      <c r="K119" s="98">
        <f t="shared" si="37"/>
        <v>0</v>
      </c>
      <c r="L119" s="98">
        <f t="shared" si="37"/>
        <v>0</v>
      </c>
      <c r="M119" s="98">
        <f t="shared" si="37"/>
        <v>0</v>
      </c>
      <c r="N119" s="98">
        <f t="shared" si="37"/>
        <v>0</v>
      </c>
      <c r="O119" s="98">
        <f t="shared" si="37"/>
        <v>0</v>
      </c>
      <c r="P119" s="98">
        <f t="shared" si="37"/>
        <v>0</v>
      </c>
      <c r="Q119" s="98">
        <f t="shared" si="37"/>
        <v>0</v>
      </c>
      <c r="R119" s="98">
        <f t="shared" si="37"/>
        <v>0</v>
      </c>
      <c r="S119" s="98">
        <f t="shared" si="37"/>
        <v>0</v>
      </c>
      <c r="T119" s="98">
        <f t="shared" si="37"/>
        <v>0</v>
      </c>
      <c r="U119" s="98">
        <f t="shared" si="37"/>
        <v>0</v>
      </c>
      <c r="V119" s="98">
        <f t="shared" si="37"/>
        <v>0</v>
      </c>
      <c r="W119" s="98">
        <f t="shared" si="37"/>
        <v>0</v>
      </c>
      <c r="X119" s="98">
        <f t="shared" si="37"/>
        <v>0</v>
      </c>
      <c r="Y119" s="98">
        <f t="shared" si="37"/>
        <v>0</v>
      </c>
      <c r="Z119" s="98">
        <f t="shared" si="37"/>
        <v>0</v>
      </c>
      <c r="AA119" s="98">
        <f t="shared" si="37"/>
        <v>0</v>
      </c>
      <c r="AB119" s="98">
        <f t="shared" si="37"/>
        <v>0</v>
      </c>
      <c r="AC119" s="98">
        <f t="shared" si="37"/>
        <v>0</v>
      </c>
    </row>
    <row r="120" spans="1:29" s="30" customFormat="1" x14ac:dyDescent="0.3">
      <c r="A120" s="31"/>
      <c r="B120" s="31"/>
      <c r="C120" s="93"/>
      <c r="D120" s="85" t="str">
        <f t="shared" si="33"/>
        <v>Forklift, 10000 lb, electric</v>
      </c>
      <c r="E120" s="85" t="str">
        <f t="shared" si="33"/>
        <v>tons/yr</v>
      </c>
      <c r="G120" s="11">
        <f t="shared" si="36"/>
        <v>0.2165103546666666</v>
      </c>
      <c r="I120" s="38">
        <f t="shared" ref="I120:AC120" si="38">$M87*I41/2000</f>
        <v>1.0990373333333329E-3</v>
      </c>
      <c r="J120" s="38">
        <f t="shared" ref="J120:AC120" si="39">$M87*J41/2000</f>
        <v>6.5942239999999975E-3</v>
      </c>
      <c r="K120" s="38">
        <f t="shared" si="39"/>
        <v>1.0990373333333329E-2</v>
      </c>
      <c r="L120" s="38">
        <f t="shared" si="39"/>
        <v>1.0990373333333329E-2</v>
      </c>
      <c r="M120" s="38">
        <f t="shared" si="39"/>
        <v>1.0990373333333329E-2</v>
      </c>
      <c r="N120" s="38">
        <f t="shared" si="39"/>
        <v>1.0990373333333329E-2</v>
      </c>
      <c r="O120" s="38">
        <f t="shared" si="39"/>
        <v>1.0990373333333329E-2</v>
      </c>
      <c r="P120" s="38">
        <f t="shared" si="39"/>
        <v>1.0990373333333329E-2</v>
      </c>
      <c r="Q120" s="38">
        <f t="shared" si="39"/>
        <v>1.0990373333333329E-2</v>
      </c>
      <c r="R120" s="38">
        <f t="shared" si="39"/>
        <v>1.0990373333333329E-2</v>
      </c>
      <c r="S120" s="38">
        <f t="shared" si="39"/>
        <v>1.0990373333333329E-2</v>
      </c>
      <c r="T120" s="38">
        <f t="shared" si="39"/>
        <v>1.0990373333333329E-2</v>
      </c>
      <c r="U120" s="38">
        <f t="shared" si="39"/>
        <v>1.0990373333333329E-2</v>
      </c>
      <c r="V120" s="38">
        <f t="shared" si="39"/>
        <v>1.0990373333333329E-2</v>
      </c>
      <c r="W120" s="38">
        <f t="shared" si="39"/>
        <v>1.0990373333333329E-2</v>
      </c>
      <c r="X120" s="38">
        <f t="shared" si="39"/>
        <v>1.0990373333333329E-2</v>
      </c>
      <c r="Y120" s="38">
        <f t="shared" si="39"/>
        <v>1.0990373333333329E-2</v>
      </c>
      <c r="Z120" s="38">
        <f t="shared" si="39"/>
        <v>1.0990373333333329E-2</v>
      </c>
      <c r="AA120" s="38">
        <f t="shared" si="39"/>
        <v>1.0990373333333329E-2</v>
      </c>
      <c r="AB120" s="38">
        <f t="shared" si="39"/>
        <v>1.0990373333333329E-2</v>
      </c>
      <c r="AC120" s="38">
        <f t="shared" si="39"/>
        <v>1.0990373333333329E-2</v>
      </c>
    </row>
    <row r="121" spans="1:29" s="30" customFormat="1" x14ac:dyDescent="0.3">
      <c r="A121" s="31"/>
      <c r="B121" s="31"/>
      <c r="C121" s="93"/>
      <c r="D121" s="85" t="str">
        <f t="shared" si="33"/>
        <v>Forklift, 18000 lb, Diesel</v>
      </c>
      <c r="E121" s="85" t="str">
        <f t="shared" si="33"/>
        <v>tons/yr</v>
      </c>
      <c r="G121" s="11">
        <f t="shared" si="36"/>
        <v>3.4938569171830101E-2</v>
      </c>
      <c r="I121" s="98">
        <f>$M88*I42</f>
        <v>2.3292379447886733E-2</v>
      </c>
      <c r="J121" s="98">
        <f t="shared" ref="J121:AC121" si="40">$M88*J42</f>
        <v>1.1646189723943367E-2</v>
      </c>
      <c r="K121" s="98">
        <f t="shared" si="40"/>
        <v>0</v>
      </c>
      <c r="L121" s="98">
        <f t="shared" si="40"/>
        <v>0</v>
      </c>
      <c r="M121" s="98">
        <f t="shared" si="40"/>
        <v>0</v>
      </c>
      <c r="N121" s="98">
        <f t="shared" si="40"/>
        <v>0</v>
      </c>
      <c r="O121" s="98">
        <f t="shared" si="40"/>
        <v>0</v>
      </c>
      <c r="P121" s="98">
        <f t="shared" si="40"/>
        <v>0</v>
      </c>
      <c r="Q121" s="98">
        <f t="shared" si="40"/>
        <v>0</v>
      </c>
      <c r="R121" s="98">
        <f t="shared" si="40"/>
        <v>0</v>
      </c>
      <c r="S121" s="98">
        <f t="shared" si="40"/>
        <v>0</v>
      </c>
      <c r="T121" s="98">
        <f t="shared" si="40"/>
        <v>0</v>
      </c>
      <c r="U121" s="98">
        <f t="shared" si="40"/>
        <v>0</v>
      </c>
      <c r="V121" s="98">
        <f t="shared" si="40"/>
        <v>0</v>
      </c>
      <c r="W121" s="98">
        <f t="shared" si="40"/>
        <v>0</v>
      </c>
      <c r="X121" s="98">
        <f t="shared" si="40"/>
        <v>0</v>
      </c>
      <c r="Y121" s="98">
        <f t="shared" si="40"/>
        <v>0</v>
      </c>
      <c r="Z121" s="98">
        <f t="shared" si="40"/>
        <v>0</v>
      </c>
      <c r="AA121" s="98">
        <f t="shared" si="40"/>
        <v>0</v>
      </c>
      <c r="AB121" s="98">
        <f t="shared" si="40"/>
        <v>0</v>
      </c>
      <c r="AC121" s="98">
        <f t="shared" si="40"/>
        <v>0</v>
      </c>
    </row>
    <row r="122" spans="1:29" s="30" customFormat="1" x14ac:dyDescent="0.3">
      <c r="A122" s="31"/>
      <c r="B122" s="31"/>
      <c r="C122" s="93"/>
      <c r="D122" s="85" t="str">
        <f t="shared" si="33"/>
        <v>Forklift, 18000 lb, electric</v>
      </c>
      <c r="E122" s="85" t="str">
        <f t="shared" si="33"/>
        <v>tons/yr</v>
      </c>
      <c r="G122" s="11">
        <f t="shared" si="36"/>
        <v>0.24492832000000009</v>
      </c>
      <c r="I122" s="38">
        <f t="shared" ref="I122:AC122" si="41">$M89*I43/2000</f>
        <v>0</v>
      </c>
      <c r="J122" s="38">
        <f t="shared" ref="J122:AC122" si="42">$M89*J43/2000</f>
        <v>6.2802133333333329E-3</v>
      </c>
      <c r="K122" s="38">
        <f t="shared" si="42"/>
        <v>1.2560426666666666E-2</v>
      </c>
      <c r="L122" s="38">
        <f t="shared" si="42"/>
        <v>1.2560426666666666E-2</v>
      </c>
      <c r="M122" s="38">
        <f t="shared" si="42"/>
        <v>1.2560426666666666E-2</v>
      </c>
      <c r="N122" s="38">
        <f t="shared" si="42"/>
        <v>1.2560426666666666E-2</v>
      </c>
      <c r="O122" s="38">
        <f t="shared" si="42"/>
        <v>1.2560426666666666E-2</v>
      </c>
      <c r="P122" s="38">
        <f t="shared" si="42"/>
        <v>1.2560426666666666E-2</v>
      </c>
      <c r="Q122" s="38">
        <f t="shared" si="42"/>
        <v>1.2560426666666666E-2</v>
      </c>
      <c r="R122" s="38">
        <f t="shared" si="42"/>
        <v>1.2560426666666666E-2</v>
      </c>
      <c r="S122" s="38">
        <f t="shared" si="42"/>
        <v>1.2560426666666666E-2</v>
      </c>
      <c r="T122" s="38">
        <f t="shared" si="42"/>
        <v>1.2560426666666666E-2</v>
      </c>
      <c r="U122" s="38">
        <f t="shared" si="42"/>
        <v>1.2560426666666666E-2</v>
      </c>
      <c r="V122" s="38">
        <f t="shared" si="42"/>
        <v>1.2560426666666666E-2</v>
      </c>
      <c r="W122" s="38">
        <f t="shared" si="42"/>
        <v>1.2560426666666666E-2</v>
      </c>
      <c r="X122" s="38">
        <f t="shared" si="42"/>
        <v>1.2560426666666666E-2</v>
      </c>
      <c r="Y122" s="38">
        <f t="shared" si="42"/>
        <v>1.2560426666666666E-2</v>
      </c>
      <c r="Z122" s="38">
        <f t="shared" si="42"/>
        <v>1.2560426666666666E-2</v>
      </c>
      <c r="AA122" s="38">
        <f t="shared" si="42"/>
        <v>1.2560426666666666E-2</v>
      </c>
      <c r="AB122" s="38">
        <f t="shared" si="42"/>
        <v>1.2560426666666666E-2</v>
      </c>
      <c r="AC122" s="38">
        <f t="shared" si="42"/>
        <v>1.2560426666666666E-2</v>
      </c>
    </row>
    <row r="123" spans="1:29" s="30" customFormat="1" x14ac:dyDescent="0.3">
      <c r="A123" s="31"/>
      <c r="B123" s="31"/>
      <c r="C123" s="93"/>
      <c r="D123" s="85" t="str">
        <f t="shared" si="33"/>
        <v>Forklift, 36000 lb, diesel</v>
      </c>
      <c r="E123" s="85" t="str">
        <f t="shared" si="33"/>
        <v>tons/yr</v>
      </c>
      <c r="G123" s="11">
        <f t="shared" si="36"/>
        <v>0.2688376744019586</v>
      </c>
      <c r="I123" s="98">
        <f>$M90*I44</f>
        <v>0.18611838997058672</v>
      </c>
      <c r="J123" s="98">
        <f t="shared" ref="J123:AC123" si="43">$M90*J44</f>
        <v>8.2719284431371873E-2</v>
      </c>
      <c r="K123" s="98">
        <f t="shared" si="43"/>
        <v>0</v>
      </c>
      <c r="L123" s="98">
        <f t="shared" si="43"/>
        <v>0</v>
      </c>
      <c r="M123" s="98">
        <f t="shared" si="43"/>
        <v>0</v>
      </c>
      <c r="N123" s="98">
        <f t="shared" si="43"/>
        <v>0</v>
      </c>
      <c r="O123" s="98">
        <f t="shared" si="43"/>
        <v>0</v>
      </c>
      <c r="P123" s="98">
        <f t="shared" si="43"/>
        <v>0</v>
      </c>
      <c r="Q123" s="98">
        <f t="shared" si="43"/>
        <v>0</v>
      </c>
      <c r="R123" s="98">
        <f t="shared" si="43"/>
        <v>0</v>
      </c>
      <c r="S123" s="98">
        <f t="shared" si="43"/>
        <v>0</v>
      </c>
      <c r="T123" s="98">
        <f t="shared" si="43"/>
        <v>0</v>
      </c>
      <c r="U123" s="98">
        <f t="shared" si="43"/>
        <v>0</v>
      </c>
      <c r="V123" s="98">
        <f t="shared" si="43"/>
        <v>0</v>
      </c>
      <c r="W123" s="98">
        <f t="shared" si="43"/>
        <v>0</v>
      </c>
      <c r="X123" s="98">
        <f t="shared" si="43"/>
        <v>0</v>
      </c>
      <c r="Y123" s="98">
        <f t="shared" si="43"/>
        <v>0</v>
      </c>
      <c r="Z123" s="98">
        <f t="shared" si="43"/>
        <v>0</v>
      </c>
      <c r="AA123" s="98">
        <f t="shared" si="43"/>
        <v>0</v>
      </c>
      <c r="AB123" s="98">
        <f t="shared" si="43"/>
        <v>0</v>
      </c>
      <c r="AC123" s="98">
        <f t="shared" si="43"/>
        <v>0</v>
      </c>
    </row>
    <row r="124" spans="1:29" s="30" customFormat="1" x14ac:dyDescent="0.3">
      <c r="A124" s="31"/>
      <c r="B124" s="31"/>
      <c r="C124" s="93"/>
      <c r="D124" s="85" t="str">
        <f t="shared" si="33"/>
        <v>Forklift, 36000 lb, electric</v>
      </c>
      <c r="E124" s="85" t="str">
        <f t="shared" si="33"/>
        <v>tons/yr</v>
      </c>
      <c r="G124" s="11">
        <f t="shared" si="36"/>
        <v>0.30930050666666653</v>
      </c>
      <c r="I124" s="38">
        <f t="shared" ref="I124:AC124" si="44">$M91*I45/2000</f>
        <v>1.570053333333333E-3</v>
      </c>
      <c r="J124" s="38">
        <f t="shared" ref="J124:AC124" si="45">$M91*J45/2000</f>
        <v>9.4203199999999977E-3</v>
      </c>
      <c r="K124" s="38">
        <f t="shared" si="45"/>
        <v>1.5700533333333332E-2</v>
      </c>
      <c r="L124" s="38">
        <f t="shared" si="45"/>
        <v>1.5700533333333332E-2</v>
      </c>
      <c r="M124" s="38">
        <f t="shared" si="45"/>
        <v>1.5700533333333332E-2</v>
      </c>
      <c r="N124" s="38">
        <f t="shared" si="45"/>
        <v>1.5700533333333332E-2</v>
      </c>
      <c r="O124" s="38">
        <f t="shared" si="45"/>
        <v>1.5700533333333332E-2</v>
      </c>
      <c r="P124" s="38">
        <f t="shared" si="45"/>
        <v>1.5700533333333332E-2</v>
      </c>
      <c r="Q124" s="38">
        <f t="shared" si="45"/>
        <v>1.5700533333333332E-2</v>
      </c>
      <c r="R124" s="38">
        <f t="shared" si="45"/>
        <v>1.5700533333333332E-2</v>
      </c>
      <c r="S124" s="38">
        <f t="shared" si="45"/>
        <v>1.5700533333333332E-2</v>
      </c>
      <c r="T124" s="38">
        <f t="shared" si="45"/>
        <v>1.5700533333333332E-2</v>
      </c>
      <c r="U124" s="38">
        <f t="shared" si="45"/>
        <v>1.5700533333333332E-2</v>
      </c>
      <c r="V124" s="38">
        <f t="shared" si="45"/>
        <v>1.5700533333333332E-2</v>
      </c>
      <c r="W124" s="38">
        <f t="shared" si="45"/>
        <v>1.5700533333333332E-2</v>
      </c>
      <c r="X124" s="38">
        <f t="shared" si="45"/>
        <v>1.5700533333333332E-2</v>
      </c>
      <c r="Y124" s="38">
        <f t="shared" si="45"/>
        <v>1.5700533333333332E-2</v>
      </c>
      <c r="Z124" s="38">
        <f t="shared" si="45"/>
        <v>1.5700533333333332E-2</v>
      </c>
      <c r="AA124" s="38">
        <f t="shared" si="45"/>
        <v>1.5700533333333332E-2</v>
      </c>
      <c r="AB124" s="38">
        <f t="shared" si="45"/>
        <v>1.5700533333333332E-2</v>
      </c>
      <c r="AC124" s="38">
        <f t="shared" si="45"/>
        <v>1.5700533333333332E-2</v>
      </c>
    </row>
    <row r="125" spans="1:29" s="30" customFormat="1" x14ac:dyDescent="0.3">
      <c r="A125" s="31"/>
      <c r="B125" s="31"/>
      <c r="C125" s="93"/>
      <c r="D125" s="85" t="str">
        <f t="shared" si="33"/>
        <v>Yard Tractor, Diesel</v>
      </c>
      <c r="E125" s="85" t="str">
        <f t="shared" si="33"/>
        <v>tons/yr</v>
      </c>
      <c r="G125" s="11">
        <f t="shared" si="36"/>
        <v>1.577260610274513E-2</v>
      </c>
      <c r="I125" s="98">
        <f>$M92*I46</f>
        <v>1.0919496532669706E-2</v>
      </c>
      <c r="J125" s="98">
        <f t="shared" ref="J125:AC125" si="46">$M92*J46</f>
        <v>4.8531095700754248E-3</v>
      </c>
      <c r="K125" s="98">
        <f t="shared" si="46"/>
        <v>0</v>
      </c>
      <c r="L125" s="98">
        <f t="shared" si="46"/>
        <v>0</v>
      </c>
      <c r="M125" s="98">
        <f t="shared" si="46"/>
        <v>0</v>
      </c>
      <c r="N125" s="98">
        <f t="shared" si="46"/>
        <v>0</v>
      </c>
      <c r="O125" s="98">
        <f t="shared" si="46"/>
        <v>0</v>
      </c>
      <c r="P125" s="98">
        <f t="shared" si="46"/>
        <v>0</v>
      </c>
      <c r="Q125" s="98">
        <f t="shared" si="46"/>
        <v>0</v>
      </c>
      <c r="R125" s="98">
        <f t="shared" si="46"/>
        <v>0</v>
      </c>
      <c r="S125" s="98">
        <f t="shared" si="46"/>
        <v>0</v>
      </c>
      <c r="T125" s="98">
        <f t="shared" si="46"/>
        <v>0</v>
      </c>
      <c r="U125" s="98">
        <f t="shared" si="46"/>
        <v>0</v>
      </c>
      <c r="V125" s="98">
        <f t="shared" si="46"/>
        <v>0</v>
      </c>
      <c r="W125" s="98">
        <f t="shared" si="46"/>
        <v>0</v>
      </c>
      <c r="X125" s="98">
        <f t="shared" si="46"/>
        <v>0</v>
      </c>
      <c r="Y125" s="98">
        <f t="shared" si="46"/>
        <v>0</v>
      </c>
      <c r="Z125" s="98">
        <f t="shared" si="46"/>
        <v>0</v>
      </c>
      <c r="AA125" s="98">
        <f t="shared" si="46"/>
        <v>0</v>
      </c>
      <c r="AB125" s="98">
        <f t="shared" si="46"/>
        <v>0</v>
      </c>
      <c r="AC125" s="98">
        <f t="shared" si="46"/>
        <v>0</v>
      </c>
    </row>
    <row r="126" spans="1:29" s="30" customFormat="1" x14ac:dyDescent="0.3">
      <c r="A126" s="31"/>
      <c r="B126" s="31"/>
      <c r="C126" s="93"/>
      <c r="D126" s="85" t="str">
        <f t="shared" si="33"/>
        <v>Yard Tractor, electric</v>
      </c>
      <c r="E126" s="85" t="str">
        <f t="shared" si="33"/>
        <v>tons/yr</v>
      </c>
      <c r="G126" s="11">
        <f t="shared" si="36"/>
        <v>0.32021699513725471</v>
      </c>
      <c r="I126" s="38">
        <f t="shared" ref="I126:AC126" si="47">$M93*I47/2000</f>
        <v>1.6254669803921565E-3</v>
      </c>
      <c r="J126" s="38">
        <f t="shared" ref="J126:AC126" si="48">$M93*J47/2000</f>
        <v>9.7528018823529392E-3</v>
      </c>
      <c r="K126" s="38">
        <f t="shared" si="48"/>
        <v>1.6254669803921561E-2</v>
      </c>
      <c r="L126" s="38">
        <f t="shared" si="48"/>
        <v>1.6254669803921561E-2</v>
      </c>
      <c r="M126" s="38">
        <f t="shared" si="48"/>
        <v>1.6254669803921561E-2</v>
      </c>
      <c r="N126" s="38">
        <f t="shared" si="48"/>
        <v>1.6254669803921561E-2</v>
      </c>
      <c r="O126" s="38">
        <f t="shared" si="48"/>
        <v>1.6254669803921561E-2</v>
      </c>
      <c r="P126" s="38">
        <f t="shared" si="48"/>
        <v>1.6254669803921561E-2</v>
      </c>
      <c r="Q126" s="38">
        <f t="shared" si="48"/>
        <v>1.6254669803921561E-2</v>
      </c>
      <c r="R126" s="38">
        <f t="shared" si="48"/>
        <v>1.6254669803921561E-2</v>
      </c>
      <c r="S126" s="38">
        <f t="shared" si="48"/>
        <v>1.6254669803921561E-2</v>
      </c>
      <c r="T126" s="38">
        <f t="shared" si="48"/>
        <v>1.6254669803921561E-2</v>
      </c>
      <c r="U126" s="38">
        <f t="shared" si="48"/>
        <v>1.6254669803921561E-2</v>
      </c>
      <c r="V126" s="38">
        <f t="shared" si="48"/>
        <v>1.6254669803921561E-2</v>
      </c>
      <c r="W126" s="38">
        <f t="shared" si="48"/>
        <v>1.6254669803921561E-2</v>
      </c>
      <c r="X126" s="38">
        <f t="shared" si="48"/>
        <v>1.6254669803921561E-2</v>
      </c>
      <c r="Y126" s="38">
        <f t="shared" si="48"/>
        <v>1.6254669803921561E-2</v>
      </c>
      <c r="Z126" s="38">
        <f t="shared" si="48"/>
        <v>1.6254669803921561E-2</v>
      </c>
      <c r="AA126" s="38">
        <f t="shared" si="48"/>
        <v>1.6254669803921561E-2</v>
      </c>
      <c r="AB126" s="38">
        <f t="shared" si="48"/>
        <v>1.6254669803921561E-2</v>
      </c>
      <c r="AC126" s="38">
        <f t="shared" si="48"/>
        <v>1.6254669803921561E-2</v>
      </c>
    </row>
    <row r="127" spans="1:29" s="30" customFormat="1" x14ac:dyDescent="0.3">
      <c r="A127" s="31"/>
      <c r="B127" s="31"/>
      <c r="C127" s="93"/>
      <c r="D127" s="85" t="str">
        <f t="shared" si="33"/>
        <v>Reefer Power Packs, 30 plugs, dual engine, Tier 3, 400 HP CAT</v>
      </c>
      <c r="E127" s="85" t="str">
        <f t="shared" si="33"/>
        <v>tons/yr</v>
      </c>
      <c r="G127" s="11">
        <f t="shared" si="36"/>
        <v>3.648018347863962E-4</v>
      </c>
      <c r="I127" s="98">
        <f>$M94*I48</f>
        <v>1.824009173931981E-4</v>
      </c>
      <c r="J127" s="98">
        <f t="shared" ref="J127:AC127" si="49">$M94*J48</f>
        <v>1.824009173931981E-4</v>
      </c>
      <c r="K127" s="98">
        <f t="shared" si="49"/>
        <v>0</v>
      </c>
      <c r="L127" s="98">
        <f t="shared" si="49"/>
        <v>0</v>
      </c>
      <c r="M127" s="98">
        <f t="shared" si="49"/>
        <v>0</v>
      </c>
      <c r="N127" s="98">
        <f t="shared" si="49"/>
        <v>0</v>
      </c>
      <c r="O127" s="98">
        <f t="shared" si="49"/>
        <v>0</v>
      </c>
      <c r="P127" s="98">
        <f t="shared" si="49"/>
        <v>0</v>
      </c>
      <c r="Q127" s="98">
        <f t="shared" si="49"/>
        <v>0</v>
      </c>
      <c r="R127" s="98">
        <f t="shared" si="49"/>
        <v>0</v>
      </c>
      <c r="S127" s="98">
        <f t="shared" si="49"/>
        <v>0</v>
      </c>
      <c r="T127" s="98">
        <f t="shared" si="49"/>
        <v>0</v>
      </c>
      <c r="U127" s="98">
        <f t="shared" si="49"/>
        <v>0</v>
      </c>
      <c r="V127" s="98">
        <f t="shared" si="49"/>
        <v>0</v>
      </c>
      <c r="W127" s="98">
        <f t="shared" si="49"/>
        <v>0</v>
      </c>
      <c r="X127" s="98">
        <f t="shared" si="49"/>
        <v>0</v>
      </c>
      <c r="Y127" s="98">
        <f t="shared" si="49"/>
        <v>0</v>
      </c>
      <c r="Z127" s="98">
        <f t="shared" si="49"/>
        <v>0</v>
      </c>
      <c r="AA127" s="98">
        <f t="shared" si="49"/>
        <v>0</v>
      </c>
      <c r="AB127" s="98">
        <f t="shared" si="49"/>
        <v>0</v>
      </c>
      <c r="AC127" s="98">
        <f t="shared" si="49"/>
        <v>0</v>
      </c>
    </row>
    <row r="128" spans="1:29" s="30" customFormat="1" x14ac:dyDescent="0.3">
      <c r="A128" s="31"/>
      <c r="B128" s="31"/>
      <c r="C128" s="93"/>
      <c r="D128" s="85" t="str">
        <f t="shared" si="33"/>
        <v>Reefer Power Packs, 30 plugs, single engine, Tier 3 400 HP CAT</v>
      </c>
      <c r="E128" s="85" t="str">
        <f t="shared" si="33"/>
        <v>tons/yr</v>
      </c>
      <c r="G128" s="11">
        <f t="shared" si="36"/>
        <v>1.4923711423079844E-4</v>
      </c>
      <c r="I128" s="98">
        <f>$M95*I49</f>
        <v>1.4923711423079844E-4</v>
      </c>
      <c r="J128" s="98">
        <f t="shared" ref="J128:AC128" si="50">$M95*J49</f>
        <v>0</v>
      </c>
      <c r="K128" s="98">
        <f t="shared" si="50"/>
        <v>0</v>
      </c>
      <c r="L128" s="98">
        <f t="shared" si="50"/>
        <v>0</v>
      </c>
      <c r="M128" s="98">
        <f t="shared" si="50"/>
        <v>0</v>
      </c>
      <c r="N128" s="98">
        <f t="shared" si="50"/>
        <v>0</v>
      </c>
      <c r="O128" s="98">
        <f t="shared" si="50"/>
        <v>0</v>
      </c>
      <c r="P128" s="98">
        <f t="shared" si="50"/>
        <v>0</v>
      </c>
      <c r="Q128" s="98">
        <f t="shared" si="50"/>
        <v>0</v>
      </c>
      <c r="R128" s="98">
        <f t="shared" si="50"/>
        <v>0</v>
      </c>
      <c r="S128" s="98">
        <f t="shared" si="50"/>
        <v>0</v>
      </c>
      <c r="T128" s="98">
        <f t="shared" si="50"/>
        <v>0</v>
      </c>
      <c r="U128" s="98">
        <f t="shared" si="50"/>
        <v>0</v>
      </c>
      <c r="V128" s="98">
        <f t="shared" si="50"/>
        <v>0</v>
      </c>
      <c r="W128" s="98">
        <f t="shared" si="50"/>
        <v>0</v>
      </c>
      <c r="X128" s="98">
        <f t="shared" si="50"/>
        <v>0</v>
      </c>
      <c r="Y128" s="98">
        <f t="shared" si="50"/>
        <v>0</v>
      </c>
      <c r="Z128" s="98">
        <f t="shared" si="50"/>
        <v>0</v>
      </c>
      <c r="AA128" s="98">
        <f t="shared" si="50"/>
        <v>0</v>
      </c>
      <c r="AB128" s="98">
        <f t="shared" si="50"/>
        <v>0</v>
      </c>
      <c r="AC128" s="98">
        <f t="shared" si="50"/>
        <v>0</v>
      </c>
    </row>
    <row r="129" spans="1:29" s="30" customFormat="1" x14ac:dyDescent="0.3">
      <c r="A129" s="31"/>
      <c r="B129" s="31"/>
      <c r="C129" s="93"/>
      <c r="D129" s="85" t="str">
        <f t="shared" si="33"/>
        <v>Nose Mount genset 1 plug, single engine, Tier 3, 32-34HP, Kubota / Carrier or Yanmar</v>
      </c>
      <c r="E129" s="85" t="str">
        <f t="shared" si="33"/>
        <v>tons/yr</v>
      </c>
      <c r="G129" s="11">
        <f t="shared" si="36"/>
        <v>4.1797360977410131E-3</v>
      </c>
      <c r="I129" s="98">
        <f>$M96*I50</f>
        <v>4.1797360977410131E-3</v>
      </c>
      <c r="J129" s="98">
        <f t="shared" ref="J129:AC129" si="51">$M96*J50</f>
        <v>0</v>
      </c>
      <c r="K129" s="98">
        <f t="shared" si="51"/>
        <v>0</v>
      </c>
      <c r="L129" s="98">
        <f t="shared" si="51"/>
        <v>0</v>
      </c>
      <c r="M129" s="98">
        <f t="shared" si="51"/>
        <v>0</v>
      </c>
      <c r="N129" s="98">
        <f t="shared" si="51"/>
        <v>0</v>
      </c>
      <c r="O129" s="98">
        <f t="shared" si="51"/>
        <v>0</v>
      </c>
      <c r="P129" s="98">
        <f t="shared" si="51"/>
        <v>0</v>
      </c>
      <c r="Q129" s="98">
        <f t="shared" si="51"/>
        <v>0</v>
      </c>
      <c r="R129" s="98">
        <f t="shared" si="51"/>
        <v>0</v>
      </c>
      <c r="S129" s="98">
        <f t="shared" si="51"/>
        <v>0</v>
      </c>
      <c r="T129" s="98">
        <f t="shared" si="51"/>
        <v>0</v>
      </c>
      <c r="U129" s="98">
        <f t="shared" si="51"/>
        <v>0</v>
      </c>
      <c r="V129" s="98">
        <f t="shared" si="51"/>
        <v>0</v>
      </c>
      <c r="W129" s="98">
        <f t="shared" si="51"/>
        <v>0</v>
      </c>
      <c r="X129" s="98">
        <f t="shared" si="51"/>
        <v>0</v>
      </c>
      <c r="Y129" s="98">
        <f t="shared" si="51"/>
        <v>0</v>
      </c>
      <c r="Z129" s="98">
        <f t="shared" si="51"/>
        <v>0</v>
      </c>
      <c r="AA129" s="98">
        <f t="shared" si="51"/>
        <v>0</v>
      </c>
      <c r="AB129" s="98">
        <f t="shared" si="51"/>
        <v>0</v>
      </c>
      <c r="AC129" s="98">
        <f t="shared" si="51"/>
        <v>0</v>
      </c>
    </row>
    <row r="130" spans="1:29" s="30" customFormat="1" x14ac:dyDescent="0.3">
      <c r="A130" s="31"/>
      <c r="B130" s="31"/>
      <c r="C130" s="93"/>
      <c r="D130" s="85" t="str">
        <f t="shared" si="33"/>
        <v>Reefer, electric</v>
      </c>
      <c r="E130" s="85" t="str">
        <f t="shared" si="33"/>
        <v>tons/yr</v>
      </c>
      <c r="G130" s="11">
        <f t="shared" si="36"/>
        <v>3.0076059639175012</v>
      </c>
      <c r="I130" s="38">
        <f t="shared" ref="I130:AC130" si="52">$M97*I51/2000</f>
        <v>5.586884143499999E-2</v>
      </c>
      <c r="J130" s="38">
        <f t="shared" ref="J130:AC130" si="53">$M97*J51/2000</f>
        <v>0.12104915644249997</v>
      </c>
      <c r="K130" s="38">
        <f t="shared" si="53"/>
        <v>0.14898357715999999</v>
      </c>
      <c r="L130" s="38">
        <f t="shared" si="53"/>
        <v>0.14898357715999999</v>
      </c>
      <c r="M130" s="38">
        <f t="shared" si="53"/>
        <v>0.14898357715999999</v>
      </c>
      <c r="N130" s="38">
        <f t="shared" si="53"/>
        <v>0.14898357715999999</v>
      </c>
      <c r="O130" s="38">
        <f t="shared" si="53"/>
        <v>0.14898357715999999</v>
      </c>
      <c r="P130" s="38">
        <f t="shared" si="53"/>
        <v>0.14898357715999999</v>
      </c>
      <c r="Q130" s="38">
        <f t="shared" si="53"/>
        <v>0.14898357715999999</v>
      </c>
      <c r="R130" s="38">
        <f t="shared" si="53"/>
        <v>0.14898357715999999</v>
      </c>
      <c r="S130" s="38">
        <f t="shared" si="53"/>
        <v>0.14898357715999999</v>
      </c>
      <c r="T130" s="38">
        <f t="shared" si="53"/>
        <v>0.14898357715999999</v>
      </c>
      <c r="U130" s="38">
        <f t="shared" si="53"/>
        <v>0.14898357715999999</v>
      </c>
      <c r="V130" s="38">
        <f t="shared" si="53"/>
        <v>0.14898357715999999</v>
      </c>
      <c r="W130" s="38">
        <f t="shared" si="53"/>
        <v>0.14898357715999999</v>
      </c>
      <c r="X130" s="38">
        <f t="shared" si="53"/>
        <v>0.14898357715999999</v>
      </c>
      <c r="Y130" s="38">
        <f t="shared" si="53"/>
        <v>0.14898357715999999</v>
      </c>
      <c r="Z130" s="38">
        <f t="shared" si="53"/>
        <v>0.14898357715999999</v>
      </c>
      <c r="AA130" s="38">
        <f t="shared" si="53"/>
        <v>0.14898357715999999</v>
      </c>
      <c r="AB130" s="38">
        <f t="shared" si="53"/>
        <v>0.14898357715999999</v>
      </c>
      <c r="AC130" s="38">
        <f t="shared" si="53"/>
        <v>0.14898357715999999</v>
      </c>
    </row>
    <row r="131" spans="1:29" s="31" customFormat="1" x14ac:dyDescent="0.3">
      <c r="C131" s="93"/>
      <c r="D131" s="31" t="str">
        <f t="shared" si="33"/>
        <v>TOTAL</v>
      </c>
      <c r="E131" s="31" t="str">
        <f t="shared" si="33"/>
        <v>tons/yr</v>
      </c>
      <c r="G131" s="72">
        <f t="shared" si="36"/>
        <v>7.091829435464394</v>
      </c>
      <c r="I131" s="75">
        <f t="shared" ref="I131:AC131" si="54">SUM(I117:I130)</f>
        <v>1.1446898467078159</v>
      </c>
      <c r="J131" s="75">
        <f t="shared" si="54"/>
        <v>0.8954763282317304</v>
      </c>
      <c r="K131" s="75">
        <f t="shared" si="54"/>
        <v>0.49870112279017759</v>
      </c>
      <c r="L131" s="75">
        <f t="shared" si="54"/>
        <v>0.41454922142628142</v>
      </c>
      <c r="M131" s="75">
        <f t="shared" si="54"/>
        <v>0.32697713006029006</v>
      </c>
      <c r="N131" s="75">
        <f t="shared" si="54"/>
        <v>0.26661224753687668</v>
      </c>
      <c r="O131" s="75">
        <f t="shared" si="54"/>
        <v>0.23632156924741482</v>
      </c>
      <c r="P131" s="75">
        <f t="shared" si="54"/>
        <v>0.23632156924741482</v>
      </c>
      <c r="Q131" s="75">
        <f t="shared" si="54"/>
        <v>0.23632156924741482</v>
      </c>
      <c r="R131" s="75">
        <f t="shared" si="54"/>
        <v>0.23632156924741482</v>
      </c>
      <c r="S131" s="75">
        <f t="shared" si="54"/>
        <v>0.23632156924741482</v>
      </c>
      <c r="T131" s="75">
        <f t="shared" si="54"/>
        <v>0.23632156924741482</v>
      </c>
      <c r="U131" s="75">
        <f t="shared" si="54"/>
        <v>0.23632156924741482</v>
      </c>
      <c r="V131" s="75">
        <f t="shared" si="54"/>
        <v>0.23632156924741482</v>
      </c>
      <c r="W131" s="75">
        <f t="shared" si="54"/>
        <v>0.23632156924741482</v>
      </c>
      <c r="X131" s="75">
        <f t="shared" si="54"/>
        <v>0.23632156924741482</v>
      </c>
      <c r="Y131" s="75">
        <f t="shared" si="54"/>
        <v>0.23632156924741482</v>
      </c>
      <c r="Z131" s="75">
        <f t="shared" si="54"/>
        <v>0.23632156924741482</v>
      </c>
      <c r="AA131" s="75">
        <f t="shared" si="54"/>
        <v>0.23632156924741482</v>
      </c>
      <c r="AB131" s="75">
        <f t="shared" si="54"/>
        <v>0.23632156924741482</v>
      </c>
      <c r="AC131" s="75">
        <f t="shared" si="54"/>
        <v>0.23632156924741482</v>
      </c>
    </row>
    <row r="132" spans="1:29" s="30" customFormat="1" x14ac:dyDescent="0.3">
      <c r="A132" s="31"/>
      <c r="B132" s="31"/>
      <c r="C132" s="31"/>
      <c r="D132" s="85"/>
      <c r="G132" s="7"/>
    </row>
    <row r="133" spans="1:29" s="30" customFormat="1" x14ac:dyDescent="0.3">
      <c r="A133" s="31"/>
      <c r="B133" s="31"/>
      <c r="C133" s="93" t="s">
        <v>376</v>
      </c>
      <c r="D133" s="31" t="s">
        <v>360</v>
      </c>
      <c r="G133" s="7"/>
    </row>
    <row r="134" spans="1:29" s="30" customFormat="1" x14ac:dyDescent="0.3">
      <c r="A134" s="31"/>
      <c r="B134" s="31"/>
      <c r="C134" s="93"/>
      <c r="D134" s="85" t="str">
        <f t="shared" ref="D134:E148" si="55">D117</f>
        <v>Top Pick</v>
      </c>
      <c r="E134" s="85" t="str">
        <f t="shared" si="55"/>
        <v>tons/yr</v>
      </c>
      <c r="G134" s="11">
        <f t="shared" ref="G134:G148" si="56">SUM(I134:AC134)</f>
        <v>0.39370544212524483</v>
      </c>
      <c r="I134" s="98">
        <f>I$341*I$38</f>
        <v>0.12551682215720122</v>
      </c>
      <c r="J134" s="98">
        <f t="shared" ref="J134:AC134" si="57">J$341*J$38</f>
        <v>5.8638618842769732E-2</v>
      </c>
      <c r="K134" s="98">
        <f t="shared" si="57"/>
        <v>1.0799124693723301E-2</v>
      </c>
      <c r="L134" s="98">
        <f t="shared" si="57"/>
        <v>1.0874752312114964E-2</v>
      </c>
      <c r="M134" s="98">
        <f t="shared" si="57"/>
        <v>1.0950871005919703E-2</v>
      </c>
      <c r="N134" s="98">
        <f t="shared" si="57"/>
        <v>1.1025518738581045E-2</v>
      </c>
      <c r="O134" s="98">
        <f t="shared" si="57"/>
        <v>1.105998229166231E-2</v>
      </c>
      <c r="P134" s="98">
        <f t="shared" si="57"/>
        <v>1.105998229166231E-2</v>
      </c>
      <c r="Q134" s="98">
        <f t="shared" si="57"/>
        <v>1.105998229166231E-2</v>
      </c>
      <c r="R134" s="98">
        <f t="shared" si="57"/>
        <v>1.105998229166231E-2</v>
      </c>
      <c r="S134" s="98">
        <f t="shared" si="57"/>
        <v>1.105998229166231E-2</v>
      </c>
      <c r="T134" s="98">
        <f t="shared" si="57"/>
        <v>1.105998229166231E-2</v>
      </c>
      <c r="U134" s="98">
        <f t="shared" si="57"/>
        <v>1.105998229166231E-2</v>
      </c>
      <c r="V134" s="98">
        <f t="shared" si="57"/>
        <v>1.105998229166231E-2</v>
      </c>
      <c r="W134" s="98">
        <f t="shared" si="57"/>
        <v>1.105998229166231E-2</v>
      </c>
      <c r="X134" s="98">
        <f t="shared" si="57"/>
        <v>1.105998229166231E-2</v>
      </c>
      <c r="Y134" s="98">
        <f t="shared" si="57"/>
        <v>1.105998229166231E-2</v>
      </c>
      <c r="Z134" s="98">
        <f t="shared" si="57"/>
        <v>1.105998229166231E-2</v>
      </c>
      <c r="AA134" s="98">
        <f t="shared" si="57"/>
        <v>1.105998229166231E-2</v>
      </c>
      <c r="AB134" s="98">
        <f t="shared" si="57"/>
        <v>1.105998229166231E-2</v>
      </c>
      <c r="AC134" s="98">
        <f t="shared" si="57"/>
        <v>1.105998229166231E-2</v>
      </c>
    </row>
    <row r="135" spans="1:29" s="30" customFormat="1" x14ac:dyDescent="0.3">
      <c r="A135" s="31"/>
      <c r="B135" s="31"/>
      <c r="C135" s="93"/>
      <c r="D135" s="85" t="str">
        <f t="shared" si="55"/>
        <v>RTGs, Hybrid</v>
      </c>
      <c r="E135" s="85" t="str">
        <f t="shared" si="55"/>
        <v>tons/yr</v>
      </c>
      <c r="G135" s="11">
        <f t="shared" si="56"/>
        <v>9.2331522954576334E-2</v>
      </c>
      <c r="I135" s="98">
        <f>$N85*I39</f>
        <v>7.8247053351335866E-4</v>
      </c>
      <c r="J135" s="98">
        <f t="shared" ref="J135:AC135" si="58">$N85*J39</f>
        <v>2.3474116005400758E-3</v>
      </c>
      <c r="K135" s="98">
        <f t="shared" si="58"/>
        <v>4.6948232010801515E-3</v>
      </c>
      <c r="L135" s="98">
        <f t="shared" si="58"/>
        <v>4.6948232010801515E-3</v>
      </c>
      <c r="M135" s="98">
        <f t="shared" si="58"/>
        <v>4.6948232010801515E-3</v>
      </c>
      <c r="N135" s="98">
        <f t="shared" si="58"/>
        <v>4.6948232010801515E-3</v>
      </c>
      <c r="O135" s="98">
        <f t="shared" si="58"/>
        <v>4.6948232010801515E-3</v>
      </c>
      <c r="P135" s="98">
        <f t="shared" si="58"/>
        <v>4.6948232010801515E-3</v>
      </c>
      <c r="Q135" s="98">
        <f t="shared" si="58"/>
        <v>4.6948232010801515E-3</v>
      </c>
      <c r="R135" s="98">
        <f t="shared" si="58"/>
        <v>4.6948232010801515E-3</v>
      </c>
      <c r="S135" s="98">
        <f t="shared" si="58"/>
        <v>4.6948232010801515E-3</v>
      </c>
      <c r="T135" s="98">
        <f t="shared" si="58"/>
        <v>4.6948232010801515E-3</v>
      </c>
      <c r="U135" s="98">
        <f t="shared" si="58"/>
        <v>4.6948232010801515E-3</v>
      </c>
      <c r="V135" s="98">
        <f t="shared" si="58"/>
        <v>4.6948232010801515E-3</v>
      </c>
      <c r="W135" s="98">
        <f t="shared" si="58"/>
        <v>4.6948232010801515E-3</v>
      </c>
      <c r="X135" s="98">
        <f t="shared" si="58"/>
        <v>4.6948232010801515E-3</v>
      </c>
      <c r="Y135" s="98">
        <f t="shared" si="58"/>
        <v>4.6948232010801515E-3</v>
      </c>
      <c r="Z135" s="98">
        <f t="shared" si="58"/>
        <v>4.6948232010801515E-3</v>
      </c>
      <c r="AA135" s="98">
        <f t="shared" si="58"/>
        <v>4.6948232010801515E-3</v>
      </c>
      <c r="AB135" s="98">
        <f t="shared" si="58"/>
        <v>4.6948232010801515E-3</v>
      </c>
      <c r="AC135" s="98">
        <f t="shared" si="58"/>
        <v>4.6948232010801515E-3</v>
      </c>
    </row>
    <row r="136" spans="1:29" s="30" customFormat="1" x14ac:dyDescent="0.3">
      <c r="A136" s="31"/>
      <c r="B136" s="31"/>
      <c r="C136" s="93"/>
      <c r="D136" s="85" t="str">
        <f t="shared" si="55"/>
        <v>Forklift, 10000 lb, Diesel</v>
      </c>
      <c r="E136" s="85" t="str">
        <f t="shared" si="55"/>
        <v>tons/yr</v>
      </c>
      <c r="G136" s="11">
        <f t="shared" si="56"/>
        <v>2.9496184046813724E-3</v>
      </c>
      <c r="I136" s="98">
        <f>$N86*I40</f>
        <v>2.0420435109332578E-3</v>
      </c>
      <c r="J136" s="98">
        <f t="shared" ref="J136:AC136" si="59">$N86*J40</f>
        <v>9.0757489374811455E-4</v>
      </c>
      <c r="K136" s="98">
        <f t="shared" si="59"/>
        <v>0</v>
      </c>
      <c r="L136" s="98">
        <f t="shared" si="59"/>
        <v>0</v>
      </c>
      <c r="M136" s="98">
        <f t="shared" si="59"/>
        <v>0</v>
      </c>
      <c r="N136" s="98">
        <f t="shared" si="59"/>
        <v>0</v>
      </c>
      <c r="O136" s="98">
        <f t="shared" si="59"/>
        <v>0</v>
      </c>
      <c r="P136" s="98">
        <f t="shared" si="59"/>
        <v>0</v>
      </c>
      <c r="Q136" s="98">
        <f t="shared" si="59"/>
        <v>0</v>
      </c>
      <c r="R136" s="98">
        <f t="shared" si="59"/>
        <v>0</v>
      </c>
      <c r="S136" s="98">
        <f t="shared" si="59"/>
        <v>0</v>
      </c>
      <c r="T136" s="98">
        <f t="shared" si="59"/>
        <v>0</v>
      </c>
      <c r="U136" s="98">
        <f t="shared" si="59"/>
        <v>0</v>
      </c>
      <c r="V136" s="98">
        <f t="shared" si="59"/>
        <v>0</v>
      </c>
      <c r="W136" s="98">
        <f t="shared" si="59"/>
        <v>0</v>
      </c>
      <c r="X136" s="98">
        <f t="shared" si="59"/>
        <v>0</v>
      </c>
      <c r="Y136" s="98">
        <f t="shared" si="59"/>
        <v>0</v>
      </c>
      <c r="Z136" s="98">
        <f t="shared" si="59"/>
        <v>0</v>
      </c>
      <c r="AA136" s="98">
        <f t="shared" si="59"/>
        <v>0</v>
      </c>
      <c r="AB136" s="98">
        <f t="shared" si="59"/>
        <v>0</v>
      </c>
      <c r="AC136" s="98">
        <f t="shared" si="59"/>
        <v>0</v>
      </c>
    </row>
    <row r="137" spans="1:29" s="30" customFormat="1" x14ac:dyDescent="0.3">
      <c r="A137" s="31"/>
      <c r="B137" s="31"/>
      <c r="C137" s="93"/>
      <c r="D137" s="85" t="str">
        <f t="shared" si="55"/>
        <v>Forklift, 10000 lb, electric</v>
      </c>
      <c r="E137" s="85" t="str">
        <f t="shared" si="55"/>
        <v>tons/yr</v>
      </c>
      <c r="G137" s="11">
        <f t="shared" si="56"/>
        <v>0.50864874666666648</v>
      </c>
      <c r="I137" s="38">
        <f t="shared" ref="I137:AC137" si="60">$N87*I41/2000</f>
        <v>2.5819733333333332E-3</v>
      </c>
      <c r="J137" s="38">
        <f t="shared" ref="J137:AC137" si="61">$N87*J41/2000</f>
        <v>1.5491839999999998E-2</v>
      </c>
      <c r="K137" s="38">
        <f t="shared" si="61"/>
        <v>2.5819733333333327E-2</v>
      </c>
      <c r="L137" s="38">
        <f t="shared" si="61"/>
        <v>2.5819733333333327E-2</v>
      </c>
      <c r="M137" s="38">
        <f t="shared" si="61"/>
        <v>2.5819733333333327E-2</v>
      </c>
      <c r="N137" s="38">
        <f t="shared" si="61"/>
        <v>2.5819733333333327E-2</v>
      </c>
      <c r="O137" s="38">
        <f t="shared" si="61"/>
        <v>2.5819733333333327E-2</v>
      </c>
      <c r="P137" s="38">
        <f t="shared" si="61"/>
        <v>2.5819733333333327E-2</v>
      </c>
      <c r="Q137" s="38">
        <f t="shared" si="61"/>
        <v>2.5819733333333327E-2</v>
      </c>
      <c r="R137" s="38">
        <f t="shared" si="61"/>
        <v>2.5819733333333327E-2</v>
      </c>
      <c r="S137" s="38">
        <f t="shared" si="61"/>
        <v>2.5819733333333327E-2</v>
      </c>
      <c r="T137" s="38">
        <f t="shared" si="61"/>
        <v>2.5819733333333327E-2</v>
      </c>
      <c r="U137" s="38">
        <f t="shared" si="61"/>
        <v>2.5819733333333327E-2</v>
      </c>
      <c r="V137" s="38">
        <f t="shared" si="61"/>
        <v>2.5819733333333327E-2</v>
      </c>
      <c r="W137" s="38">
        <f t="shared" si="61"/>
        <v>2.5819733333333327E-2</v>
      </c>
      <c r="X137" s="38">
        <f t="shared" si="61"/>
        <v>2.5819733333333327E-2</v>
      </c>
      <c r="Y137" s="38">
        <f t="shared" si="61"/>
        <v>2.5819733333333327E-2</v>
      </c>
      <c r="Z137" s="38">
        <f t="shared" si="61"/>
        <v>2.5819733333333327E-2</v>
      </c>
      <c r="AA137" s="38">
        <f t="shared" si="61"/>
        <v>2.5819733333333327E-2</v>
      </c>
      <c r="AB137" s="38">
        <f t="shared" si="61"/>
        <v>2.5819733333333327E-2</v>
      </c>
      <c r="AC137" s="38">
        <f t="shared" si="61"/>
        <v>2.5819733333333327E-2</v>
      </c>
    </row>
    <row r="138" spans="1:29" s="30" customFormat="1" x14ac:dyDescent="0.3">
      <c r="A138" s="31"/>
      <c r="B138" s="31"/>
      <c r="C138" s="93"/>
      <c r="D138" s="85" t="str">
        <f t="shared" si="55"/>
        <v>Forklift, 18000 lb, Diesel</v>
      </c>
      <c r="E138" s="85" t="str">
        <f t="shared" si="55"/>
        <v>tons/yr</v>
      </c>
      <c r="G138" s="11">
        <f t="shared" si="56"/>
        <v>5.6723430859257152E-3</v>
      </c>
      <c r="I138" s="98">
        <f>$N88*I42</f>
        <v>3.7815620572838101E-3</v>
      </c>
      <c r="J138" s="98">
        <f t="shared" ref="J138:AC138" si="62">$N88*J42</f>
        <v>1.8907810286419051E-3</v>
      </c>
      <c r="K138" s="98">
        <f t="shared" si="62"/>
        <v>0</v>
      </c>
      <c r="L138" s="98">
        <f t="shared" si="62"/>
        <v>0</v>
      </c>
      <c r="M138" s="98">
        <f t="shared" si="62"/>
        <v>0</v>
      </c>
      <c r="N138" s="98">
        <f t="shared" si="62"/>
        <v>0</v>
      </c>
      <c r="O138" s="98">
        <f t="shared" si="62"/>
        <v>0</v>
      </c>
      <c r="P138" s="98">
        <f t="shared" si="62"/>
        <v>0</v>
      </c>
      <c r="Q138" s="98">
        <f t="shared" si="62"/>
        <v>0</v>
      </c>
      <c r="R138" s="98">
        <f t="shared" si="62"/>
        <v>0</v>
      </c>
      <c r="S138" s="98">
        <f t="shared" si="62"/>
        <v>0</v>
      </c>
      <c r="T138" s="98">
        <f t="shared" si="62"/>
        <v>0</v>
      </c>
      <c r="U138" s="98">
        <f t="shared" si="62"/>
        <v>0</v>
      </c>
      <c r="V138" s="98">
        <f t="shared" si="62"/>
        <v>0</v>
      </c>
      <c r="W138" s="98">
        <f t="shared" si="62"/>
        <v>0</v>
      </c>
      <c r="X138" s="98">
        <f t="shared" si="62"/>
        <v>0</v>
      </c>
      <c r="Y138" s="98">
        <f t="shared" si="62"/>
        <v>0</v>
      </c>
      <c r="Z138" s="98">
        <f t="shared" si="62"/>
        <v>0</v>
      </c>
      <c r="AA138" s="98">
        <f t="shared" si="62"/>
        <v>0</v>
      </c>
      <c r="AB138" s="98">
        <f t="shared" si="62"/>
        <v>0</v>
      </c>
      <c r="AC138" s="98">
        <f t="shared" si="62"/>
        <v>0</v>
      </c>
    </row>
    <row r="139" spans="1:29" s="30" customFormat="1" x14ac:dyDescent="0.3">
      <c r="A139" s="31"/>
      <c r="B139" s="31"/>
      <c r="C139" s="93"/>
      <c r="D139" s="85" t="str">
        <f t="shared" si="55"/>
        <v>Forklift, 18000 lb, electric</v>
      </c>
      <c r="E139" s="85" t="str">
        <f t="shared" si="55"/>
        <v>tons/yr</v>
      </c>
      <c r="G139" s="11">
        <f t="shared" si="56"/>
        <v>0.57541120000000023</v>
      </c>
      <c r="I139" s="38">
        <f t="shared" ref="I139:AC139" si="63">$N89*I43/2000</f>
        <v>0</v>
      </c>
      <c r="J139" s="38">
        <f t="shared" ref="J139:AC139" si="64">$N89*J43/2000</f>
        <v>1.4754133333333337E-2</v>
      </c>
      <c r="K139" s="38">
        <f t="shared" si="64"/>
        <v>2.9508266666666675E-2</v>
      </c>
      <c r="L139" s="38">
        <f t="shared" si="64"/>
        <v>2.9508266666666675E-2</v>
      </c>
      <c r="M139" s="38">
        <f t="shared" si="64"/>
        <v>2.9508266666666675E-2</v>
      </c>
      <c r="N139" s="38">
        <f t="shared" si="64"/>
        <v>2.9508266666666675E-2</v>
      </c>
      <c r="O139" s="38">
        <f t="shared" si="64"/>
        <v>2.9508266666666675E-2</v>
      </c>
      <c r="P139" s="38">
        <f t="shared" si="64"/>
        <v>2.9508266666666675E-2</v>
      </c>
      <c r="Q139" s="38">
        <f t="shared" si="64"/>
        <v>2.9508266666666675E-2</v>
      </c>
      <c r="R139" s="38">
        <f t="shared" si="64"/>
        <v>2.9508266666666675E-2</v>
      </c>
      <c r="S139" s="38">
        <f t="shared" si="64"/>
        <v>2.9508266666666675E-2</v>
      </c>
      <c r="T139" s="38">
        <f t="shared" si="64"/>
        <v>2.9508266666666675E-2</v>
      </c>
      <c r="U139" s="38">
        <f t="shared" si="64"/>
        <v>2.9508266666666675E-2</v>
      </c>
      <c r="V139" s="38">
        <f t="shared" si="64"/>
        <v>2.9508266666666675E-2</v>
      </c>
      <c r="W139" s="38">
        <f t="shared" si="64"/>
        <v>2.9508266666666675E-2</v>
      </c>
      <c r="X139" s="38">
        <f t="shared" si="64"/>
        <v>2.9508266666666675E-2</v>
      </c>
      <c r="Y139" s="38">
        <f t="shared" si="64"/>
        <v>2.9508266666666675E-2</v>
      </c>
      <c r="Z139" s="38">
        <f t="shared" si="64"/>
        <v>2.9508266666666675E-2</v>
      </c>
      <c r="AA139" s="38">
        <f t="shared" si="64"/>
        <v>2.9508266666666675E-2</v>
      </c>
      <c r="AB139" s="38">
        <f t="shared" si="64"/>
        <v>2.9508266666666675E-2</v>
      </c>
      <c r="AC139" s="38">
        <f t="shared" si="64"/>
        <v>2.9508266666666675E-2</v>
      </c>
    </row>
    <row r="140" spans="1:29" s="30" customFormat="1" x14ac:dyDescent="0.3">
      <c r="A140" s="31"/>
      <c r="B140" s="31"/>
      <c r="C140" s="93"/>
      <c r="D140" s="85" t="str">
        <f t="shared" si="55"/>
        <v>Forklift, 36000 lb, diesel</v>
      </c>
      <c r="E140" s="85" t="str">
        <f t="shared" si="55"/>
        <v>tons/yr</v>
      </c>
      <c r="G140" s="11">
        <f t="shared" si="56"/>
        <v>5.6974058338531593E-3</v>
      </c>
      <c r="I140" s="98">
        <f>$N90*I44</f>
        <v>3.944357884975264E-3</v>
      </c>
      <c r="J140" s="98">
        <f t="shared" ref="J140:AC140" si="65">$N90*J44</f>
        <v>1.7530479488778951E-3</v>
      </c>
      <c r="K140" s="98">
        <f t="shared" si="65"/>
        <v>0</v>
      </c>
      <c r="L140" s="98">
        <f t="shared" si="65"/>
        <v>0</v>
      </c>
      <c r="M140" s="98">
        <f t="shared" si="65"/>
        <v>0</v>
      </c>
      <c r="N140" s="98">
        <f t="shared" si="65"/>
        <v>0</v>
      </c>
      <c r="O140" s="98">
        <f t="shared" si="65"/>
        <v>0</v>
      </c>
      <c r="P140" s="98">
        <f t="shared" si="65"/>
        <v>0</v>
      </c>
      <c r="Q140" s="98">
        <f t="shared" si="65"/>
        <v>0</v>
      </c>
      <c r="R140" s="98">
        <f t="shared" si="65"/>
        <v>0</v>
      </c>
      <c r="S140" s="98">
        <f t="shared" si="65"/>
        <v>0</v>
      </c>
      <c r="T140" s="98">
        <f t="shared" si="65"/>
        <v>0</v>
      </c>
      <c r="U140" s="98">
        <f t="shared" si="65"/>
        <v>0</v>
      </c>
      <c r="V140" s="98">
        <f t="shared" si="65"/>
        <v>0</v>
      </c>
      <c r="W140" s="98">
        <f t="shared" si="65"/>
        <v>0</v>
      </c>
      <c r="X140" s="98">
        <f t="shared" si="65"/>
        <v>0</v>
      </c>
      <c r="Y140" s="98">
        <f t="shared" si="65"/>
        <v>0</v>
      </c>
      <c r="Z140" s="98">
        <f t="shared" si="65"/>
        <v>0</v>
      </c>
      <c r="AA140" s="98">
        <f t="shared" si="65"/>
        <v>0</v>
      </c>
      <c r="AB140" s="98">
        <f t="shared" si="65"/>
        <v>0</v>
      </c>
      <c r="AC140" s="98">
        <f t="shared" si="65"/>
        <v>0</v>
      </c>
    </row>
    <row r="141" spans="1:29" s="30" customFormat="1" x14ac:dyDescent="0.3">
      <c r="A141" s="31"/>
      <c r="B141" s="31"/>
      <c r="C141" s="93"/>
      <c r="D141" s="85" t="str">
        <f t="shared" si="55"/>
        <v>Forklift, 36000 lb, electric</v>
      </c>
      <c r="E141" s="85" t="str">
        <f t="shared" si="55"/>
        <v>tons/yr</v>
      </c>
      <c r="G141" s="11">
        <f t="shared" si="56"/>
        <v>0.72664106666666661</v>
      </c>
      <c r="I141" s="38">
        <f t="shared" ref="I141:AC141" si="66">$N91*I45/2000</f>
        <v>3.6885333333333339E-3</v>
      </c>
      <c r="J141" s="38">
        <f t="shared" ref="J141:AC141" si="67">$N91*J45/2000</f>
        <v>2.21312E-2</v>
      </c>
      <c r="K141" s="38">
        <f t="shared" si="67"/>
        <v>3.6885333333333332E-2</v>
      </c>
      <c r="L141" s="38">
        <f t="shared" si="67"/>
        <v>3.6885333333333332E-2</v>
      </c>
      <c r="M141" s="38">
        <f t="shared" si="67"/>
        <v>3.6885333333333332E-2</v>
      </c>
      <c r="N141" s="38">
        <f t="shared" si="67"/>
        <v>3.6885333333333332E-2</v>
      </c>
      <c r="O141" s="38">
        <f t="shared" si="67"/>
        <v>3.6885333333333332E-2</v>
      </c>
      <c r="P141" s="38">
        <f t="shared" si="67"/>
        <v>3.6885333333333332E-2</v>
      </c>
      <c r="Q141" s="38">
        <f t="shared" si="67"/>
        <v>3.6885333333333332E-2</v>
      </c>
      <c r="R141" s="38">
        <f t="shared" si="67"/>
        <v>3.6885333333333332E-2</v>
      </c>
      <c r="S141" s="38">
        <f t="shared" si="67"/>
        <v>3.6885333333333332E-2</v>
      </c>
      <c r="T141" s="38">
        <f t="shared" si="67"/>
        <v>3.6885333333333332E-2</v>
      </c>
      <c r="U141" s="38">
        <f t="shared" si="67"/>
        <v>3.6885333333333332E-2</v>
      </c>
      <c r="V141" s="38">
        <f t="shared" si="67"/>
        <v>3.6885333333333332E-2</v>
      </c>
      <c r="W141" s="38">
        <f t="shared" si="67"/>
        <v>3.6885333333333332E-2</v>
      </c>
      <c r="X141" s="38">
        <f t="shared" si="67"/>
        <v>3.6885333333333332E-2</v>
      </c>
      <c r="Y141" s="38">
        <f t="shared" si="67"/>
        <v>3.6885333333333332E-2</v>
      </c>
      <c r="Z141" s="38">
        <f t="shared" si="67"/>
        <v>3.6885333333333332E-2</v>
      </c>
      <c r="AA141" s="38">
        <f t="shared" si="67"/>
        <v>3.6885333333333332E-2</v>
      </c>
      <c r="AB141" s="38">
        <f t="shared" si="67"/>
        <v>3.6885333333333332E-2</v>
      </c>
      <c r="AC141" s="38">
        <f t="shared" si="67"/>
        <v>3.6885333333333332E-2</v>
      </c>
    </row>
    <row r="142" spans="1:29" s="30" customFormat="1" x14ac:dyDescent="0.3">
      <c r="A142" s="31"/>
      <c r="B142" s="31"/>
      <c r="C142" s="93"/>
      <c r="D142" s="85" t="str">
        <f t="shared" si="55"/>
        <v>Yard Tractor, Diesel</v>
      </c>
      <c r="E142" s="85" t="str">
        <f t="shared" si="55"/>
        <v>tons/yr</v>
      </c>
      <c r="G142" s="11">
        <f t="shared" si="56"/>
        <v>7.8724951710751612E-3</v>
      </c>
      <c r="I142" s="98">
        <f>$N92*I46</f>
        <v>5.4501889645904968E-3</v>
      </c>
      <c r="J142" s="98">
        <f t="shared" ref="J142:AC142" si="68">$N92*J46</f>
        <v>2.4223062064846652E-3</v>
      </c>
      <c r="K142" s="98">
        <f t="shared" si="68"/>
        <v>0</v>
      </c>
      <c r="L142" s="98">
        <f t="shared" si="68"/>
        <v>0</v>
      </c>
      <c r="M142" s="98">
        <f t="shared" si="68"/>
        <v>0</v>
      </c>
      <c r="N142" s="98">
        <f t="shared" si="68"/>
        <v>0</v>
      </c>
      <c r="O142" s="98">
        <f t="shared" si="68"/>
        <v>0</v>
      </c>
      <c r="P142" s="98">
        <f t="shared" si="68"/>
        <v>0</v>
      </c>
      <c r="Q142" s="98">
        <f t="shared" si="68"/>
        <v>0</v>
      </c>
      <c r="R142" s="98">
        <f t="shared" si="68"/>
        <v>0</v>
      </c>
      <c r="S142" s="98">
        <f t="shared" si="68"/>
        <v>0</v>
      </c>
      <c r="T142" s="98">
        <f t="shared" si="68"/>
        <v>0</v>
      </c>
      <c r="U142" s="98">
        <f t="shared" si="68"/>
        <v>0</v>
      </c>
      <c r="V142" s="98">
        <f t="shared" si="68"/>
        <v>0</v>
      </c>
      <c r="W142" s="98">
        <f t="shared" si="68"/>
        <v>0</v>
      </c>
      <c r="X142" s="98">
        <f t="shared" si="68"/>
        <v>0</v>
      </c>
      <c r="Y142" s="98">
        <f t="shared" si="68"/>
        <v>0</v>
      </c>
      <c r="Z142" s="98">
        <f t="shared" si="68"/>
        <v>0</v>
      </c>
      <c r="AA142" s="98">
        <f t="shared" si="68"/>
        <v>0</v>
      </c>
      <c r="AB142" s="98">
        <f t="shared" si="68"/>
        <v>0</v>
      </c>
      <c r="AC142" s="98">
        <f t="shared" si="68"/>
        <v>0</v>
      </c>
    </row>
    <row r="143" spans="1:29" s="30" customFormat="1" x14ac:dyDescent="0.3">
      <c r="A143" s="31"/>
      <c r="B143" s="31"/>
      <c r="C143" s="93"/>
      <c r="D143" s="85" t="str">
        <f t="shared" si="55"/>
        <v>Yard Tractor, electric</v>
      </c>
      <c r="E143" s="85" t="str">
        <f t="shared" si="55"/>
        <v>tons/yr</v>
      </c>
      <c r="G143" s="11">
        <f t="shared" si="56"/>
        <v>0.75228722196078424</v>
      </c>
      <c r="I143" s="38">
        <f t="shared" ref="I143:AC143" si="69">$N93*I47/2000</f>
        <v>3.8187168627450978E-3</v>
      </c>
      <c r="J143" s="38">
        <f t="shared" ref="J143:AC143" si="70">$N93*J47/2000</f>
        <v>2.2912301176470588E-2</v>
      </c>
      <c r="K143" s="38">
        <f t="shared" si="70"/>
        <v>3.8187168627450981E-2</v>
      </c>
      <c r="L143" s="38">
        <f t="shared" si="70"/>
        <v>3.8187168627450981E-2</v>
      </c>
      <c r="M143" s="38">
        <f t="shared" si="70"/>
        <v>3.8187168627450981E-2</v>
      </c>
      <c r="N143" s="38">
        <f t="shared" si="70"/>
        <v>3.8187168627450981E-2</v>
      </c>
      <c r="O143" s="38">
        <f t="shared" si="70"/>
        <v>3.8187168627450981E-2</v>
      </c>
      <c r="P143" s="38">
        <f t="shared" si="70"/>
        <v>3.8187168627450981E-2</v>
      </c>
      <c r="Q143" s="38">
        <f t="shared" si="70"/>
        <v>3.8187168627450981E-2</v>
      </c>
      <c r="R143" s="38">
        <f t="shared" si="70"/>
        <v>3.8187168627450981E-2</v>
      </c>
      <c r="S143" s="38">
        <f t="shared" si="70"/>
        <v>3.8187168627450981E-2</v>
      </c>
      <c r="T143" s="38">
        <f t="shared" si="70"/>
        <v>3.8187168627450981E-2</v>
      </c>
      <c r="U143" s="38">
        <f t="shared" si="70"/>
        <v>3.8187168627450981E-2</v>
      </c>
      <c r="V143" s="38">
        <f t="shared" si="70"/>
        <v>3.8187168627450981E-2</v>
      </c>
      <c r="W143" s="38">
        <f t="shared" si="70"/>
        <v>3.8187168627450981E-2</v>
      </c>
      <c r="X143" s="38">
        <f t="shared" si="70"/>
        <v>3.8187168627450981E-2</v>
      </c>
      <c r="Y143" s="38">
        <f t="shared" si="70"/>
        <v>3.8187168627450981E-2</v>
      </c>
      <c r="Z143" s="38">
        <f t="shared" si="70"/>
        <v>3.8187168627450981E-2</v>
      </c>
      <c r="AA143" s="38">
        <f t="shared" si="70"/>
        <v>3.8187168627450981E-2</v>
      </c>
      <c r="AB143" s="38">
        <f t="shared" si="70"/>
        <v>3.8187168627450981E-2</v>
      </c>
      <c r="AC143" s="38">
        <f t="shared" si="70"/>
        <v>3.8187168627450981E-2</v>
      </c>
    </row>
    <row r="144" spans="1:29" s="30" customFormat="1" x14ac:dyDescent="0.3">
      <c r="A144" s="31"/>
      <c r="B144" s="31"/>
      <c r="C144" s="93"/>
      <c r="D144" s="85" t="str">
        <f t="shared" si="55"/>
        <v>Reefer Power Packs, 30 plugs, dual engine, Tier 3, 400 HP CAT</v>
      </c>
      <c r="E144" s="85" t="str">
        <f t="shared" si="55"/>
        <v>tons/yr</v>
      </c>
      <c r="G144" s="11">
        <f t="shared" si="56"/>
        <v>1.7526963092528899E-4</v>
      </c>
      <c r="I144" s="98">
        <f>$N94*I48</f>
        <v>8.7634815462644494E-5</v>
      </c>
      <c r="J144" s="98">
        <f t="shared" ref="J144:AC144" si="71">$N94*J48</f>
        <v>8.7634815462644494E-5</v>
      </c>
      <c r="K144" s="98">
        <f t="shared" si="71"/>
        <v>0</v>
      </c>
      <c r="L144" s="98">
        <f t="shared" si="71"/>
        <v>0</v>
      </c>
      <c r="M144" s="98">
        <f t="shared" si="71"/>
        <v>0</v>
      </c>
      <c r="N144" s="98">
        <f t="shared" si="71"/>
        <v>0</v>
      </c>
      <c r="O144" s="98">
        <f t="shared" si="71"/>
        <v>0</v>
      </c>
      <c r="P144" s="98">
        <f t="shared" si="71"/>
        <v>0</v>
      </c>
      <c r="Q144" s="98">
        <f t="shared" si="71"/>
        <v>0</v>
      </c>
      <c r="R144" s="98">
        <f t="shared" si="71"/>
        <v>0</v>
      </c>
      <c r="S144" s="98">
        <f t="shared" si="71"/>
        <v>0</v>
      </c>
      <c r="T144" s="98">
        <f t="shared" si="71"/>
        <v>0</v>
      </c>
      <c r="U144" s="98">
        <f t="shared" si="71"/>
        <v>0</v>
      </c>
      <c r="V144" s="98">
        <f t="shared" si="71"/>
        <v>0</v>
      </c>
      <c r="W144" s="98">
        <f t="shared" si="71"/>
        <v>0</v>
      </c>
      <c r="X144" s="98">
        <f t="shared" si="71"/>
        <v>0</v>
      </c>
      <c r="Y144" s="98">
        <f t="shared" si="71"/>
        <v>0</v>
      </c>
      <c r="Z144" s="98">
        <f t="shared" si="71"/>
        <v>0</v>
      </c>
      <c r="AA144" s="98">
        <f t="shared" si="71"/>
        <v>0</v>
      </c>
      <c r="AB144" s="98">
        <f t="shared" si="71"/>
        <v>0</v>
      </c>
      <c r="AC144" s="98">
        <f t="shared" si="71"/>
        <v>0</v>
      </c>
    </row>
    <row r="145" spans="1:29" s="30" customFormat="1" x14ac:dyDescent="0.3">
      <c r="A145" s="31"/>
      <c r="B145" s="31"/>
      <c r="C145" s="93"/>
      <c r="D145" s="85" t="str">
        <f t="shared" si="55"/>
        <v>Reefer Power Packs, 30 plugs, single engine, Tier 3 400 HP CAT</v>
      </c>
      <c r="E145" s="85" t="str">
        <f t="shared" si="55"/>
        <v>tons/yr</v>
      </c>
      <c r="G145" s="11">
        <f t="shared" si="56"/>
        <v>7.170121265125458E-5</v>
      </c>
      <c r="I145" s="98">
        <f>$N95*I49</f>
        <v>7.170121265125458E-5</v>
      </c>
      <c r="J145" s="98">
        <f t="shared" ref="J145:AC145" si="72">$N95*J49</f>
        <v>0</v>
      </c>
      <c r="K145" s="98">
        <f t="shared" si="72"/>
        <v>0</v>
      </c>
      <c r="L145" s="98">
        <f t="shared" si="72"/>
        <v>0</v>
      </c>
      <c r="M145" s="98">
        <f t="shared" si="72"/>
        <v>0</v>
      </c>
      <c r="N145" s="98">
        <f t="shared" si="72"/>
        <v>0</v>
      </c>
      <c r="O145" s="98">
        <f t="shared" si="72"/>
        <v>0</v>
      </c>
      <c r="P145" s="98">
        <f t="shared" si="72"/>
        <v>0</v>
      </c>
      <c r="Q145" s="98">
        <f t="shared" si="72"/>
        <v>0</v>
      </c>
      <c r="R145" s="98">
        <f t="shared" si="72"/>
        <v>0</v>
      </c>
      <c r="S145" s="98">
        <f t="shared" si="72"/>
        <v>0</v>
      </c>
      <c r="T145" s="98">
        <f t="shared" si="72"/>
        <v>0</v>
      </c>
      <c r="U145" s="98">
        <f t="shared" si="72"/>
        <v>0</v>
      </c>
      <c r="V145" s="98">
        <f t="shared" si="72"/>
        <v>0</v>
      </c>
      <c r="W145" s="98">
        <f t="shared" si="72"/>
        <v>0</v>
      </c>
      <c r="X145" s="98">
        <f t="shared" si="72"/>
        <v>0</v>
      </c>
      <c r="Y145" s="98">
        <f t="shared" si="72"/>
        <v>0</v>
      </c>
      <c r="Z145" s="98">
        <f t="shared" si="72"/>
        <v>0</v>
      </c>
      <c r="AA145" s="98">
        <f t="shared" si="72"/>
        <v>0</v>
      </c>
      <c r="AB145" s="98">
        <f t="shared" si="72"/>
        <v>0</v>
      </c>
      <c r="AC145" s="98">
        <f t="shared" si="72"/>
        <v>0</v>
      </c>
    </row>
    <row r="146" spans="1:29" s="30" customFormat="1" x14ac:dyDescent="0.3">
      <c r="A146" s="31"/>
      <c r="B146" s="31"/>
      <c r="C146" s="93"/>
      <c r="D146" s="85" t="str">
        <f t="shared" si="55"/>
        <v>Nose Mount genset 1 plug, single engine, Tier 3, 32-34HP, Kubota / Carrier or Yanmar</v>
      </c>
      <c r="E146" s="85" t="str">
        <f t="shared" si="55"/>
        <v>tons/yr</v>
      </c>
      <c r="G146" s="11">
        <f t="shared" si="56"/>
        <v>3.1585710226454753E-4</v>
      </c>
      <c r="I146" s="98">
        <f>$N96*I50</f>
        <v>3.1585710226454753E-4</v>
      </c>
      <c r="J146" s="98">
        <f t="shared" ref="J146:AC146" si="73">$N96*J50</f>
        <v>0</v>
      </c>
      <c r="K146" s="98">
        <f t="shared" si="73"/>
        <v>0</v>
      </c>
      <c r="L146" s="98">
        <f t="shared" si="73"/>
        <v>0</v>
      </c>
      <c r="M146" s="98">
        <f t="shared" si="73"/>
        <v>0</v>
      </c>
      <c r="N146" s="98">
        <f t="shared" si="73"/>
        <v>0</v>
      </c>
      <c r="O146" s="98">
        <f t="shared" si="73"/>
        <v>0</v>
      </c>
      <c r="P146" s="98">
        <f t="shared" si="73"/>
        <v>0</v>
      </c>
      <c r="Q146" s="98">
        <f t="shared" si="73"/>
        <v>0</v>
      </c>
      <c r="R146" s="98">
        <f t="shared" si="73"/>
        <v>0</v>
      </c>
      <c r="S146" s="98">
        <f t="shared" si="73"/>
        <v>0</v>
      </c>
      <c r="T146" s="98">
        <f t="shared" si="73"/>
        <v>0</v>
      </c>
      <c r="U146" s="98">
        <f t="shared" si="73"/>
        <v>0</v>
      </c>
      <c r="V146" s="98">
        <f t="shared" si="73"/>
        <v>0</v>
      </c>
      <c r="W146" s="98">
        <f t="shared" si="73"/>
        <v>0</v>
      </c>
      <c r="X146" s="98">
        <f t="shared" si="73"/>
        <v>0</v>
      </c>
      <c r="Y146" s="98">
        <f t="shared" si="73"/>
        <v>0</v>
      </c>
      <c r="Z146" s="98">
        <f t="shared" si="73"/>
        <v>0</v>
      </c>
      <c r="AA146" s="98">
        <f t="shared" si="73"/>
        <v>0</v>
      </c>
      <c r="AB146" s="98">
        <f t="shared" si="73"/>
        <v>0</v>
      </c>
      <c r="AC146" s="98">
        <f t="shared" si="73"/>
        <v>0</v>
      </c>
    </row>
    <row r="147" spans="1:29" s="30" customFormat="1" x14ac:dyDescent="0.3">
      <c r="A147" s="31"/>
      <c r="B147" s="31"/>
      <c r="C147" s="93"/>
      <c r="D147" s="85" t="str">
        <f t="shared" si="55"/>
        <v>Reefer, electric</v>
      </c>
      <c r="E147" s="85" t="str">
        <f t="shared" si="55"/>
        <v>tons/yr</v>
      </c>
      <c r="G147" s="11">
        <f t="shared" si="56"/>
        <v>7.0657821717999987</v>
      </c>
      <c r="I147" s="38">
        <f t="shared" ref="I147:AC147" si="74">$N97*I51/2000</f>
        <v>0.13125291960000002</v>
      </c>
      <c r="J147" s="38">
        <f t="shared" ref="J147:AC147" si="75">$N97*J51/2000</f>
        <v>0.28438132580000003</v>
      </c>
      <c r="K147" s="38">
        <f t="shared" si="75"/>
        <v>0.35000778560000001</v>
      </c>
      <c r="L147" s="38">
        <f t="shared" si="75"/>
        <v>0.35000778560000001</v>
      </c>
      <c r="M147" s="38">
        <f t="shared" si="75"/>
        <v>0.35000778560000001</v>
      </c>
      <c r="N147" s="38">
        <f t="shared" si="75"/>
        <v>0.35000778560000001</v>
      </c>
      <c r="O147" s="38">
        <f t="shared" si="75"/>
        <v>0.35000778560000001</v>
      </c>
      <c r="P147" s="38">
        <f t="shared" si="75"/>
        <v>0.35000778560000001</v>
      </c>
      <c r="Q147" s="38">
        <f t="shared" si="75"/>
        <v>0.35000778560000001</v>
      </c>
      <c r="R147" s="38">
        <f t="shared" si="75"/>
        <v>0.35000778560000001</v>
      </c>
      <c r="S147" s="38">
        <f t="shared" si="75"/>
        <v>0.35000778560000001</v>
      </c>
      <c r="T147" s="38">
        <f t="shared" si="75"/>
        <v>0.35000778560000001</v>
      </c>
      <c r="U147" s="38">
        <f t="shared" si="75"/>
        <v>0.35000778560000001</v>
      </c>
      <c r="V147" s="38">
        <f t="shared" si="75"/>
        <v>0.35000778560000001</v>
      </c>
      <c r="W147" s="38">
        <f t="shared" si="75"/>
        <v>0.35000778560000001</v>
      </c>
      <c r="X147" s="38">
        <f t="shared" si="75"/>
        <v>0.35000778560000001</v>
      </c>
      <c r="Y147" s="38">
        <f t="shared" si="75"/>
        <v>0.35000778560000001</v>
      </c>
      <c r="Z147" s="38">
        <f t="shared" si="75"/>
        <v>0.35000778560000001</v>
      </c>
      <c r="AA147" s="38">
        <f t="shared" si="75"/>
        <v>0.35000778560000001</v>
      </c>
      <c r="AB147" s="38">
        <f t="shared" si="75"/>
        <v>0.35000778560000001</v>
      </c>
      <c r="AC147" s="38">
        <f t="shared" si="75"/>
        <v>0.35000778560000001</v>
      </c>
    </row>
    <row r="148" spans="1:29" s="30" customFormat="1" x14ac:dyDescent="0.3">
      <c r="A148" s="31"/>
      <c r="B148" s="31"/>
      <c r="C148" s="93"/>
      <c r="D148" s="31" t="str">
        <f t="shared" si="55"/>
        <v>TOTAL</v>
      </c>
      <c r="E148" s="85" t="str">
        <f t="shared" si="55"/>
        <v>tons/yr</v>
      </c>
      <c r="G148" s="72">
        <f t="shared" si="56"/>
        <v>10.137562062615316</v>
      </c>
      <c r="I148" s="75">
        <f t="shared" ref="I148:AC148" si="76">SUM(I134:I147)</f>
        <v>0.2833347813682876</v>
      </c>
      <c r="J148" s="75">
        <f t="shared" si="76"/>
        <v>0.42771817564632897</v>
      </c>
      <c r="K148" s="75">
        <f t="shared" si="76"/>
        <v>0.49590223545558776</v>
      </c>
      <c r="L148" s="75">
        <f t="shared" si="76"/>
        <v>0.4959778630739794</v>
      </c>
      <c r="M148" s="75">
        <f t="shared" si="76"/>
        <v>0.49605398176778415</v>
      </c>
      <c r="N148" s="75">
        <f t="shared" si="76"/>
        <v>0.49612862950044551</v>
      </c>
      <c r="O148" s="75">
        <f t="shared" si="76"/>
        <v>0.49616309305352679</v>
      </c>
      <c r="P148" s="75">
        <f t="shared" si="76"/>
        <v>0.49616309305352679</v>
      </c>
      <c r="Q148" s="75">
        <f t="shared" si="76"/>
        <v>0.49616309305352679</v>
      </c>
      <c r="R148" s="75">
        <f t="shared" si="76"/>
        <v>0.49616309305352679</v>
      </c>
      <c r="S148" s="75">
        <f t="shared" si="76"/>
        <v>0.49616309305352679</v>
      </c>
      <c r="T148" s="75">
        <f t="shared" si="76"/>
        <v>0.49616309305352679</v>
      </c>
      <c r="U148" s="75">
        <f t="shared" si="76"/>
        <v>0.49616309305352679</v>
      </c>
      <c r="V148" s="75">
        <f t="shared" si="76"/>
        <v>0.49616309305352679</v>
      </c>
      <c r="W148" s="75">
        <f t="shared" si="76"/>
        <v>0.49616309305352679</v>
      </c>
      <c r="X148" s="75">
        <f t="shared" si="76"/>
        <v>0.49616309305352679</v>
      </c>
      <c r="Y148" s="75">
        <f t="shared" si="76"/>
        <v>0.49616309305352679</v>
      </c>
      <c r="Z148" s="75">
        <f t="shared" si="76"/>
        <v>0.49616309305352679</v>
      </c>
      <c r="AA148" s="75">
        <f t="shared" si="76"/>
        <v>0.49616309305352679</v>
      </c>
      <c r="AB148" s="75">
        <f t="shared" si="76"/>
        <v>0.49616309305352679</v>
      </c>
      <c r="AC148" s="75">
        <f t="shared" si="76"/>
        <v>0.49616309305352679</v>
      </c>
    </row>
    <row r="149" spans="1:29" s="30" customFormat="1" x14ac:dyDescent="0.3">
      <c r="A149" s="31"/>
      <c r="B149" s="31"/>
      <c r="C149" s="31"/>
      <c r="D149" s="85"/>
      <c r="G149" s="7"/>
    </row>
    <row r="150" spans="1:29" s="85" customFormat="1" x14ac:dyDescent="0.3">
      <c r="A150" s="31"/>
      <c r="B150" s="31"/>
      <c r="C150" s="93" t="s">
        <v>376</v>
      </c>
      <c r="D150" s="31" t="s">
        <v>365</v>
      </c>
      <c r="G150" s="87"/>
    </row>
    <row r="151" spans="1:29" s="85" customFormat="1" x14ac:dyDescent="0.3">
      <c r="A151" s="31"/>
      <c r="B151" s="31"/>
      <c r="C151" s="93"/>
      <c r="D151" s="85" t="str">
        <f>D134</f>
        <v>Top Pick</v>
      </c>
      <c r="E151" s="85" t="s">
        <v>366</v>
      </c>
      <c r="G151" s="11">
        <f t="shared" ref="G151:G165" si="77">SUM(I151:AC151)</f>
        <v>25424.066303999985</v>
      </c>
      <c r="I151" s="38">
        <f>I38*'7_PARAMS'!$D$27</f>
        <v>3026.6745599999999</v>
      </c>
      <c r="J151" s="38">
        <f>J38*'7_PARAMS'!$D$27</f>
        <v>2270.0059199999996</v>
      </c>
      <c r="K151" s="38">
        <f>K38*'7_PARAMS'!$D$27</f>
        <v>1059.3360959999998</v>
      </c>
      <c r="L151" s="38">
        <f>L38*'7_PARAMS'!$D$27</f>
        <v>1059.3360959999998</v>
      </c>
      <c r="M151" s="38">
        <f>M38*'7_PARAMS'!$D$27</f>
        <v>1059.3360959999998</v>
      </c>
      <c r="N151" s="38">
        <f>N38*'7_PARAMS'!$D$27</f>
        <v>1059.3360959999998</v>
      </c>
      <c r="O151" s="38">
        <f>O38*'7_PARAMS'!$D$27</f>
        <v>1059.3360959999998</v>
      </c>
      <c r="P151" s="38">
        <f>P38*'7_PARAMS'!$D$27</f>
        <v>1059.3360959999998</v>
      </c>
      <c r="Q151" s="38">
        <f>Q38*'7_PARAMS'!$D$27</f>
        <v>1059.3360959999998</v>
      </c>
      <c r="R151" s="38">
        <f>R38*'7_PARAMS'!$D$27</f>
        <v>1059.3360959999998</v>
      </c>
      <c r="S151" s="38">
        <f>S38*'7_PARAMS'!$D$27</f>
        <v>1059.3360959999998</v>
      </c>
      <c r="T151" s="38">
        <f>T38*'7_PARAMS'!$D$27</f>
        <v>1059.3360959999998</v>
      </c>
      <c r="U151" s="38">
        <f>U38*'7_PARAMS'!$D$27</f>
        <v>1059.3360959999998</v>
      </c>
      <c r="V151" s="38">
        <f>V38*'7_PARAMS'!$D$27</f>
        <v>1059.3360959999998</v>
      </c>
      <c r="W151" s="38">
        <f>W38*'7_PARAMS'!$D$27</f>
        <v>1059.3360959999998</v>
      </c>
      <c r="X151" s="38">
        <f>X38*'7_PARAMS'!$D$27</f>
        <v>1059.3360959999998</v>
      </c>
      <c r="Y151" s="38">
        <f>Y38*'7_PARAMS'!$D$27</f>
        <v>1059.3360959999998</v>
      </c>
      <c r="Z151" s="38">
        <f>Z38*'7_PARAMS'!$D$27</f>
        <v>1059.3360959999998</v>
      </c>
      <c r="AA151" s="38">
        <f>AA38*'7_PARAMS'!$D$27</f>
        <v>1059.3360959999998</v>
      </c>
      <c r="AB151" s="38">
        <f>AB38*'7_PARAMS'!$D$27</f>
        <v>1059.3360959999998</v>
      </c>
      <c r="AC151" s="38">
        <f>AC38*'7_PARAMS'!$D$27</f>
        <v>1059.3360959999998</v>
      </c>
    </row>
    <row r="152" spans="1:29" s="85" customFormat="1" x14ac:dyDescent="0.3">
      <c r="A152" s="31"/>
      <c r="B152" s="31"/>
      <c r="C152" s="93"/>
      <c r="D152" s="85" t="str">
        <f t="shared" ref="D152:D165" si="78">D135</f>
        <v>RTGs, Hybrid</v>
      </c>
      <c r="E152" s="85" t="s">
        <v>366</v>
      </c>
      <c r="G152" s="11">
        <f t="shared" si="77"/>
        <v>35403.520071111103</v>
      </c>
      <c r="I152" s="38">
        <f>I39*'7_PARAMS'!$D$27</f>
        <v>300.02983111111109</v>
      </c>
      <c r="J152" s="38">
        <f>J39*'7_PARAMS'!$D$27</f>
        <v>900.08949333333317</v>
      </c>
      <c r="K152" s="38">
        <f>K39*'7_PARAMS'!$D$27</f>
        <v>1800.1789866666663</v>
      </c>
      <c r="L152" s="38">
        <f>L39*'7_PARAMS'!$D$27</f>
        <v>1800.1789866666663</v>
      </c>
      <c r="M152" s="38">
        <f>M39*'7_PARAMS'!$D$27</f>
        <v>1800.1789866666663</v>
      </c>
      <c r="N152" s="38">
        <f>N39*'7_PARAMS'!$D$27</f>
        <v>1800.1789866666663</v>
      </c>
      <c r="O152" s="38">
        <f>O39*'7_PARAMS'!$D$27</f>
        <v>1800.1789866666663</v>
      </c>
      <c r="P152" s="38">
        <f>P39*'7_PARAMS'!$D$27</f>
        <v>1800.1789866666663</v>
      </c>
      <c r="Q152" s="38">
        <f>Q39*'7_PARAMS'!$D$27</f>
        <v>1800.1789866666663</v>
      </c>
      <c r="R152" s="38">
        <f>R39*'7_PARAMS'!$D$27</f>
        <v>1800.1789866666663</v>
      </c>
      <c r="S152" s="38">
        <f>S39*'7_PARAMS'!$D$27</f>
        <v>1800.1789866666663</v>
      </c>
      <c r="T152" s="38">
        <f>T39*'7_PARAMS'!$D$27</f>
        <v>1800.1789866666663</v>
      </c>
      <c r="U152" s="38">
        <f>U39*'7_PARAMS'!$D$27</f>
        <v>1800.1789866666663</v>
      </c>
      <c r="V152" s="38">
        <f>V39*'7_PARAMS'!$D$27</f>
        <v>1800.1789866666663</v>
      </c>
      <c r="W152" s="38">
        <f>W39*'7_PARAMS'!$D$27</f>
        <v>1800.1789866666663</v>
      </c>
      <c r="X152" s="38">
        <f>X39*'7_PARAMS'!$D$27</f>
        <v>1800.1789866666663</v>
      </c>
      <c r="Y152" s="38">
        <f>Y39*'7_PARAMS'!$D$27</f>
        <v>1800.1789866666663</v>
      </c>
      <c r="Z152" s="38">
        <f>Z39*'7_PARAMS'!$D$27</f>
        <v>1800.1789866666663</v>
      </c>
      <c r="AA152" s="38">
        <f>AA39*'7_PARAMS'!$D$27</f>
        <v>1800.1789866666663</v>
      </c>
      <c r="AB152" s="38">
        <f>AB39*'7_PARAMS'!$D$27</f>
        <v>1800.1789866666663</v>
      </c>
      <c r="AC152" s="38">
        <f>AC39*'7_PARAMS'!$D$27</f>
        <v>1800.1789866666663</v>
      </c>
    </row>
    <row r="153" spans="1:29" s="85" customFormat="1" x14ac:dyDescent="0.3">
      <c r="A153" s="31"/>
      <c r="B153" s="31"/>
      <c r="C153" s="93"/>
      <c r="D153" s="85" t="str">
        <f t="shared" si="78"/>
        <v>Forklift, 10000 lb, Diesel</v>
      </c>
      <c r="E153" s="85" t="s">
        <v>366</v>
      </c>
      <c r="G153" s="11">
        <f t="shared" si="77"/>
        <v>289.31448</v>
      </c>
      <c r="I153" s="38">
        <f>I40*'7_PARAMS'!$D$27</f>
        <v>200.29463999999999</v>
      </c>
      <c r="J153" s="38">
        <f>J40*'7_PARAMS'!$D$27</f>
        <v>89.019839999999988</v>
      </c>
      <c r="K153" s="38">
        <f>K40*'7_PARAMS'!$D$27</f>
        <v>0</v>
      </c>
      <c r="L153" s="38">
        <f>L40*'7_PARAMS'!$D$27</f>
        <v>0</v>
      </c>
      <c r="M153" s="38">
        <f>M40*'7_PARAMS'!$D$27</f>
        <v>0</v>
      </c>
      <c r="N153" s="38">
        <f>N40*'7_PARAMS'!$D$27</f>
        <v>0</v>
      </c>
      <c r="O153" s="38">
        <f>O40*'7_PARAMS'!$D$27</f>
        <v>0</v>
      </c>
      <c r="P153" s="38">
        <f>P40*'7_PARAMS'!$D$27</f>
        <v>0</v>
      </c>
      <c r="Q153" s="38">
        <f>Q40*'7_PARAMS'!$D$27</f>
        <v>0</v>
      </c>
      <c r="R153" s="38">
        <f>R40*'7_PARAMS'!$D$27</f>
        <v>0</v>
      </c>
      <c r="S153" s="38">
        <f>S40*'7_PARAMS'!$D$27</f>
        <v>0</v>
      </c>
      <c r="T153" s="38">
        <f>T40*'7_PARAMS'!$D$27</f>
        <v>0</v>
      </c>
      <c r="U153" s="38">
        <f>U40*'7_PARAMS'!$D$27</f>
        <v>0</v>
      </c>
      <c r="V153" s="38">
        <f>V40*'7_PARAMS'!$D$27</f>
        <v>0</v>
      </c>
      <c r="W153" s="38">
        <f>W40*'7_PARAMS'!$D$27</f>
        <v>0</v>
      </c>
      <c r="X153" s="38">
        <f>X40*'7_PARAMS'!$D$27</f>
        <v>0</v>
      </c>
      <c r="Y153" s="38">
        <f>Y40*'7_PARAMS'!$D$27</f>
        <v>0</v>
      </c>
      <c r="Z153" s="38">
        <f>Z40*'7_PARAMS'!$D$27</f>
        <v>0</v>
      </c>
      <c r="AA153" s="38">
        <f>AA40*'7_PARAMS'!$D$27</f>
        <v>0</v>
      </c>
      <c r="AB153" s="38">
        <f>AB40*'7_PARAMS'!$D$27</f>
        <v>0</v>
      </c>
      <c r="AC153" s="38">
        <f>AC40*'7_PARAMS'!$D$27</f>
        <v>0</v>
      </c>
    </row>
    <row r="154" spans="1:29" s="85" customFormat="1" x14ac:dyDescent="0.3">
      <c r="A154" s="31"/>
      <c r="B154" s="31"/>
      <c r="C154" s="93"/>
      <c r="D154" s="85" t="str">
        <f t="shared" si="78"/>
        <v>Forklift, 10000 lb, electric</v>
      </c>
      <c r="E154" s="85" t="s">
        <v>366</v>
      </c>
      <c r="G154" s="11">
        <f t="shared" si="77"/>
        <v>2535.1819095051919</v>
      </c>
      <c r="I154" s="38">
        <f>$M$78/1000*I41/2204.62</f>
        <v>12.868943703072032</v>
      </c>
      <c r="J154" s="38">
        <f t="shared" ref="J154:AC154" si="79">$M$78/1000*J41/2204.62</f>
        <v>77.213662218432205</v>
      </c>
      <c r="K154" s="38">
        <f t="shared" si="79"/>
        <v>128.68943703072034</v>
      </c>
      <c r="L154" s="38">
        <f t="shared" si="79"/>
        <v>128.68943703072034</v>
      </c>
      <c r="M154" s="38">
        <f t="shared" si="79"/>
        <v>128.68943703072034</v>
      </c>
      <c r="N154" s="38">
        <f t="shared" si="79"/>
        <v>128.68943703072034</v>
      </c>
      <c r="O154" s="38">
        <f t="shared" si="79"/>
        <v>128.68943703072034</v>
      </c>
      <c r="P154" s="38">
        <f t="shared" si="79"/>
        <v>128.68943703072034</v>
      </c>
      <c r="Q154" s="38">
        <f t="shared" si="79"/>
        <v>128.68943703072034</v>
      </c>
      <c r="R154" s="38">
        <f t="shared" si="79"/>
        <v>128.68943703072034</v>
      </c>
      <c r="S154" s="38">
        <f t="shared" si="79"/>
        <v>128.68943703072034</v>
      </c>
      <c r="T154" s="38">
        <f t="shared" si="79"/>
        <v>128.68943703072034</v>
      </c>
      <c r="U154" s="38">
        <f t="shared" si="79"/>
        <v>128.68943703072034</v>
      </c>
      <c r="V154" s="38">
        <f t="shared" si="79"/>
        <v>128.68943703072034</v>
      </c>
      <c r="W154" s="38">
        <f t="shared" si="79"/>
        <v>128.68943703072034</v>
      </c>
      <c r="X154" s="38">
        <f t="shared" si="79"/>
        <v>128.68943703072034</v>
      </c>
      <c r="Y154" s="38">
        <f t="shared" si="79"/>
        <v>128.68943703072034</v>
      </c>
      <c r="Z154" s="38">
        <f t="shared" si="79"/>
        <v>128.68943703072034</v>
      </c>
      <c r="AA154" s="38">
        <f t="shared" si="79"/>
        <v>128.68943703072034</v>
      </c>
      <c r="AB154" s="38">
        <f t="shared" si="79"/>
        <v>128.68943703072034</v>
      </c>
      <c r="AC154" s="38">
        <f t="shared" si="79"/>
        <v>128.68943703072034</v>
      </c>
    </row>
    <row r="155" spans="1:29" s="85" customFormat="1" x14ac:dyDescent="0.3">
      <c r="A155" s="31"/>
      <c r="B155" s="31"/>
      <c r="C155" s="93"/>
      <c r="D155" s="85" t="str">
        <f t="shared" si="78"/>
        <v>Forklift, 18000 lb, Diesel</v>
      </c>
      <c r="E155" s="85" t="s">
        <v>366</v>
      </c>
      <c r="G155" s="11">
        <f t="shared" si="77"/>
        <v>556.3739999999998</v>
      </c>
      <c r="I155" s="38">
        <f>I42*'7_PARAMS'!$D$27</f>
        <v>370.91599999999988</v>
      </c>
      <c r="J155" s="38">
        <f>J42*'7_PARAMS'!$D$27</f>
        <v>185.45799999999994</v>
      </c>
      <c r="K155" s="38">
        <f>K42*'7_PARAMS'!$D$27</f>
        <v>0</v>
      </c>
      <c r="L155" s="38">
        <f>L42*'7_PARAMS'!$D$27</f>
        <v>0</v>
      </c>
      <c r="M155" s="38">
        <f>M42*'7_PARAMS'!$D$27</f>
        <v>0</v>
      </c>
      <c r="N155" s="38">
        <f>N42*'7_PARAMS'!$D$27</f>
        <v>0</v>
      </c>
      <c r="O155" s="38">
        <f>O42*'7_PARAMS'!$D$27</f>
        <v>0</v>
      </c>
      <c r="P155" s="38">
        <f>P42*'7_PARAMS'!$D$27</f>
        <v>0</v>
      </c>
      <c r="Q155" s="38">
        <f>Q42*'7_PARAMS'!$D$27</f>
        <v>0</v>
      </c>
      <c r="R155" s="38">
        <f>R42*'7_PARAMS'!$D$27</f>
        <v>0</v>
      </c>
      <c r="S155" s="38">
        <f>S42*'7_PARAMS'!$D$27</f>
        <v>0</v>
      </c>
      <c r="T155" s="38">
        <f>T42*'7_PARAMS'!$D$27</f>
        <v>0</v>
      </c>
      <c r="U155" s="38">
        <f>U42*'7_PARAMS'!$D$27</f>
        <v>0</v>
      </c>
      <c r="V155" s="38">
        <f>V42*'7_PARAMS'!$D$27</f>
        <v>0</v>
      </c>
      <c r="W155" s="38">
        <f>W42*'7_PARAMS'!$D$27</f>
        <v>0</v>
      </c>
      <c r="X155" s="38">
        <f>X42*'7_PARAMS'!$D$27</f>
        <v>0</v>
      </c>
      <c r="Y155" s="38">
        <f>Y42*'7_PARAMS'!$D$27</f>
        <v>0</v>
      </c>
      <c r="Z155" s="38">
        <f>Z42*'7_PARAMS'!$D$27</f>
        <v>0</v>
      </c>
      <c r="AA155" s="38">
        <f>AA42*'7_PARAMS'!$D$27</f>
        <v>0</v>
      </c>
      <c r="AB155" s="38">
        <f>AB42*'7_PARAMS'!$D$27</f>
        <v>0</v>
      </c>
      <c r="AC155" s="38">
        <f>AC42*'7_PARAMS'!$D$27</f>
        <v>0</v>
      </c>
    </row>
    <row r="156" spans="1:29" s="85" customFormat="1" x14ac:dyDescent="0.3">
      <c r="A156" s="31"/>
      <c r="B156" s="31"/>
      <c r="C156" s="93"/>
      <c r="D156" s="85" t="str">
        <f t="shared" si="78"/>
        <v>Forklift, 18000 lb, electric</v>
      </c>
      <c r="E156" s="85" t="s">
        <v>366</v>
      </c>
      <c r="G156" s="11">
        <f t="shared" si="77"/>
        <v>2867.9360252560527</v>
      </c>
      <c r="I156" s="38">
        <f>$M$78/1000*I43/2204.62</f>
        <v>0</v>
      </c>
      <c r="J156" s="38">
        <f t="shared" ref="J156:AC156" si="80">$M$78/1000*J43/2204.62</f>
        <v>73.536821160411634</v>
      </c>
      <c r="K156" s="38">
        <f t="shared" si="80"/>
        <v>147.07364232082327</v>
      </c>
      <c r="L156" s="38">
        <f t="shared" si="80"/>
        <v>147.07364232082327</v>
      </c>
      <c r="M156" s="38">
        <f t="shared" si="80"/>
        <v>147.07364232082327</v>
      </c>
      <c r="N156" s="38">
        <f t="shared" si="80"/>
        <v>147.07364232082327</v>
      </c>
      <c r="O156" s="38">
        <f t="shared" si="80"/>
        <v>147.07364232082327</v>
      </c>
      <c r="P156" s="38">
        <f t="shared" si="80"/>
        <v>147.07364232082327</v>
      </c>
      <c r="Q156" s="38">
        <f t="shared" si="80"/>
        <v>147.07364232082327</v>
      </c>
      <c r="R156" s="38">
        <f t="shared" si="80"/>
        <v>147.07364232082327</v>
      </c>
      <c r="S156" s="38">
        <f t="shared" si="80"/>
        <v>147.07364232082327</v>
      </c>
      <c r="T156" s="38">
        <f t="shared" si="80"/>
        <v>147.07364232082327</v>
      </c>
      <c r="U156" s="38">
        <f t="shared" si="80"/>
        <v>147.07364232082327</v>
      </c>
      <c r="V156" s="38">
        <f t="shared" si="80"/>
        <v>147.07364232082327</v>
      </c>
      <c r="W156" s="38">
        <f t="shared" si="80"/>
        <v>147.07364232082327</v>
      </c>
      <c r="X156" s="38">
        <f t="shared" si="80"/>
        <v>147.07364232082327</v>
      </c>
      <c r="Y156" s="38">
        <f t="shared" si="80"/>
        <v>147.07364232082327</v>
      </c>
      <c r="Z156" s="38">
        <f t="shared" si="80"/>
        <v>147.07364232082327</v>
      </c>
      <c r="AA156" s="38">
        <f t="shared" si="80"/>
        <v>147.07364232082327</v>
      </c>
      <c r="AB156" s="38">
        <f t="shared" si="80"/>
        <v>147.07364232082327</v>
      </c>
      <c r="AC156" s="38">
        <f t="shared" si="80"/>
        <v>147.07364232082327</v>
      </c>
    </row>
    <row r="157" spans="1:29" s="85" customFormat="1" x14ac:dyDescent="0.3">
      <c r="A157" s="31"/>
      <c r="B157" s="31"/>
      <c r="C157" s="93"/>
      <c r="D157" s="85" t="str">
        <f t="shared" si="78"/>
        <v>Forklift, 36000 lb, diesel</v>
      </c>
      <c r="E157" s="85" t="s">
        <v>366</v>
      </c>
      <c r="G157" s="11">
        <f t="shared" si="77"/>
        <v>559.34132799999998</v>
      </c>
      <c r="I157" s="38">
        <f>I44*'7_PARAMS'!$D$27</f>
        <v>387.23630399999996</v>
      </c>
      <c r="J157" s="38">
        <f>J44*'7_PARAMS'!$D$27</f>
        <v>172.10502399999999</v>
      </c>
      <c r="K157" s="38">
        <f>K44*'7_PARAMS'!$D$27</f>
        <v>0</v>
      </c>
      <c r="L157" s="38">
        <f>L44*'7_PARAMS'!$D$27</f>
        <v>0</v>
      </c>
      <c r="M157" s="38">
        <f>M44*'7_PARAMS'!$D$27</f>
        <v>0</v>
      </c>
      <c r="N157" s="38">
        <f>N44*'7_PARAMS'!$D$27</f>
        <v>0</v>
      </c>
      <c r="O157" s="38">
        <f>O44*'7_PARAMS'!$D$27</f>
        <v>0</v>
      </c>
      <c r="P157" s="38">
        <f>P44*'7_PARAMS'!$D$27</f>
        <v>0</v>
      </c>
      <c r="Q157" s="38">
        <f>Q44*'7_PARAMS'!$D$27</f>
        <v>0</v>
      </c>
      <c r="R157" s="38">
        <f>R44*'7_PARAMS'!$D$27</f>
        <v>0</v>
      </c>
      <c r="S157" s="38">
        <f>S44*'7_PARAMS'!$D$27</f>
        <v>0</v>
      </c>
      <c r="T157" s="38">
        <f>T44*'7_PARAMS'!$D$27</f>
        <v>0</v>
      </c>
      <c r="U157" s="38">
        <f>U44*'7_PARAMS'!$D$27</f>
        <v>0</v>
      </c>
      <c r="V157" s="38">
        <f>V44*'7_PARAMS'!$D$27</f>
        <v>0</v>
      </c>
      <c r="W157" s="38">
        <f>W44*'7_PARAMS'!$D$27</f>
        <v>0</v>
      </c>
      <c r="X157" s="38">
        <f>X44*'7_PARAMS'!$D$27</f>
        <v>0</v>
      </c>
      <c r="Y157" s="38">
        <f>Y44*'7_PARAMS'!$D$27</f>
        <v>0</v>
      </c>
      <c r="Z157" s="38">
        <f>Z44*'7_PARAMS'!$D$27</f>
        <v>0</v>
      </c>
      <c r="AA157" s="38">
        <f>AA44*'7_PARAMS'!$D$27</f>
        <v>0</v>
      </c>
      <c r="AB157" s="38">
        <f>AB44*'7_PARAMS'!$D$27</f>
        <v>0</v>
      </c>
      <c r="AC157" s="38">
        <f>AC44*'7_PARAMS'!$D$27</f>
        <v>0</v>
      </c>
    </row>
    <row r="158" spans="1:29" s="85" customFormat="1" x14ac:dyDescent="0.3">
      <c r="A158" s="31"/>
      <c r="B158" s="31"/>
      <c r="C158" s="93"/>
      <c r="D158" s="85" t="str">
        <f t="shared" si="78"/>
        <v>Forklift, 36000 lb, electric</v>
      </c>
      <c r="E158" s="85" t="s">
        <v>366</v>
      </c>
      <c r="G158" s="11">
        <f t="shared" si="77"/>
        <v>3621.6884421502732</v>
      </c>
      <c r="I158" s="38">
        <f>$M$78/1000*I45/2204.62</f>
        <v>18.384205290102908</v>
      </c>
      <c r="J158" s="38">
        <f t="shared" ref="J158:AC158" si="81">$M$78/1000*J45/2204.62</f>
        <v>110.30523174061744</v>
      </c>
      <c r="K158" s="38">
        <f t="shared" si="81"/>
        <v>183.84205290102909</v>
      </c>
      <c r="L158" s="38">
        <f t="shared" si="81"/>
        <v>183.84205290102909</v>
      </c>
      <c r="M158" s="38">
        <f t="shared" si="81"/>
        <v>183.84205290102909</v>
      </c>
      <c r="N158" s="38">
        <f t="shared" si="81"/>
        <v>183.84205290102909</v>
      </c>
      <c r="O158" s="38">
        <f t="shared" si="81"/>
        <v>183.84205290102909</v>
      </c>
      <c r="P158" s="38">
        <f t="shared" si="81"/>
        <v>183.84205290102909</v>
      </c>
      <c r="Q158" s="38">
        <f t="shared" si="81"/>
        <v>183.84205290102909</v>
      </c>
      <c r="R158" s="38">
        <f t="shared" si="81"/>
        <v>183.84205290102909</v>
      </c>
      <c r="S158" s="38">
        <f t="shared" si="81"/>
        <v>183.84205290102909</v>
      </c>
      <c r="T158" s="38">
        <f t="shared" si="81"/>
        <v>183.84205290102909</v>
      </c>
      <c r="U158" s="38">
        <f t="shared" si="81"/>
        <v>183.84205290102909</v>
      </c>
      <c r="V158" s="38">
        <f t="shared" si="81"/>
        <v>183.84205290102909</v>
      </c>
      <c r="W158" s="38">
        <f t="shared" si="81"/>
        <v>183.84205290102909</v>
      </c>
      <c r="X158" s="38">
        <f t="shared" si="81"/>
        <v>183.84205290102909</v>
      </c>
      <c r="Y158" s="38">
        <f t="shared" si="81"/>
        <v>183.84205290102909</v>
      </c>
      <c r="Z158" s="38">
        <f t="shared" si="81"/>
        <v>183.84205290102909</v>
      </c>
      <c r="AA158" s="38">
        <f t="shared" si="81"/>
        <v>183.84205290102909</v>
      </c>
      <c r="AB158" s="38">
        <f t="shared" si="81"/>
        <v>183.84205290102909</v>
      </c>
      <c r="AC158" s="38">
        <f t="shared" si="81"/>
        <v>183.84205290102909</v>
      </c>
    </row>
    <row r="159" spans="1:29" s="85" customFormat="1" x14ac:dyDescent="0.3">
      <c r="A159" s="31"/>
      <c r="B159" s="31"/>
      <c r="C159" s="93"/>
      <c r="D159" s="85" t="str">
        <f t="shared" si="78"/>
        <v>Yard Tractor, Diesel</v>
      </c>
      <c r="E159" s="85" t="s">
        <v>366</v>
      </c>
      <c r="G159" s="11">
        <f t="shared" si="77"/>
        <v>771.50527999999986</v>
      </c>
      <c r="I159" s="38">
        <f>I46*'7_PARAMS'!$D$27</f>
        <v>534.11903999999993</v>
      </c>
      <c r="J159" s="38">
        <f>J46*'7_PARAMS'!$D$27</f>
        <v>237.38623999999999</v>
      </c>
      <c r="K159" s="38">
        <f>K46*'7_PARAMS'!$D$27</f>
        <v>0</v>
      </c>
      <c r="L159" s="38">
        <f>L46*'7_PARAMS'!$D$27</f>
        <v>0</v>
      </c>
      <c r="M159" s="38">
        <f>M46*'7_PARAMS'!$D$27</f>
        <v>0</v>
      </c>
      <c r="N159" s="38">
        <f>N46*'7_PARAMS'!$D$27</f>
        <v>0</v>
      </c>
      <c r="O159" s="38">
        <f>O46*'7_PARAMS'!$D$27</f>
        <v>0</v>
      </c>
      <c r="P159" s="38">
        <f>P46*'7_PARAMS'!$D$27</f>
        <v>0</v>
      </c>
      <c r="Q159" s="38">
        <f>Q46*'7_PARAMS'!$D$27</f>
        <v>0</v>
      </c>
      <c r="R159" s="38">
        <f>R46*'7_PARAMS'!$D$27</f>
        <v>0</v>
      </c>
      <c r="S159" s="38">
        <f>S46*'7_PARAMS'!$D$27</f>
        <v>0</v>
      </c>
      <c r="T159" s="38">
        <f>T46*'7_PARAMS'!$D$27</f>
        <v>0</v>
      </c>
      <c r="U159" s="38">
        <f>U46*'7_PARAMS'!$D$27</f>
        <v>0</v>
      </c>
      <c r="V159" s="38">
        <f>V46*'7_PARAMS'!$D$27</f>
        <v>0</v>
      </c>
      <c r="W159" s="38">
        <f>W46*'7_PARAMS'!$D$27</f>
        <v>0</v>
      </c>
      <c r="X159" s="38">
        <f>X46*'7_PARAMS'!$D$27</f>
        <v>0</v>
      </c>
      <c r="Y159" s="38">
        <f>Y46*'7_PARAMS'!$D$27</f>
        <v>0</v>
      </c>
      <c r="Z159" s="38">
        <f>Z46*'7_PARAMS'!$D$27</f>
        <v>0</v>
      </c>
      <c r="AA159" s="38">
        <f>AA46*'7_PARAMS'!$D$27</f>
        <v>0</v>
      </c>
      <c r="AB159" s="38">
        <f>AB46*'7_PARAMS'!$D$27</f>
        <v>0</v>
      </c>
      <c r="AC159" s="38">
        <f>AC46*'7_PARAMS'!$D$27</f>
        <v>0</v>
      </c>
    </row>
    <row r="160" spans="1:29" s="85" customFormat="1" x14ac:dyDescent="0.3">
      <c r="A160" s="31"/>
      <c r="B160" s="31"/>
      <c r="C160" s="93"/>
      <c r="D160" s="85" t="str">
        <f t="shared" si="78"/>
        <v>Yard Tractor, electric</v>
      </c>
      <c r="E160" s="85" t="s">
        <v>366</v>
      </c>
      <c r="G160" s="11">
        <f t="shared" si="77"/>
        <v>3749.5127401085165</v>
      </c>
      <c r="I160" s="38">
        <f>$M$78/1000*I47/2204.62</f>
        <v>19.03305959445948</v>
      </c>
      <c r="J160" s="38">
        <f t="shared" ref="J160:AC160" si="82">$M$78/1000*J47/2204.62</f>
        <v>114.19835756675688</v>
      </c>
      <c r="K160" s="38">
        <f t="shared" si="82"/>
        <v>190.33059594459479</v>
      </c>
      <c r="L160" s="38">
        <f t="shared" si="82"/>
        <v>190.33059594459479</v>
      </c>
      <c r="M160" s="38">
        <f t="shared" si="82"/>
        <v>190.33059594459479</v>
      </c>
      <c r="N160" s="38">
        <f t="shared" si="82"/>
        <v>190.33059594459479</v>
      </c>
      <c r="O160" s="38">
        <f t="shared" si="82"/>
        <v>190.33059594459479</v>
      </c>
      <c r="P160" s="38">
        <f t="shared" si="82"/>
        <v>190.33059594459479</v>
      </c>
      <c r="Q160" s="38">
        <f t="shared" si="82"/>
        <v>190.33059594459479</v>
      </c>
      <c r="R160" s="38">
        <f t="shared" si="82"/>
        <v>190.33059594459479</v>
      </c>
      <c r="S160" s="38">
        <f t="shared" si="82"/>
        <v>190.33059594459479</v>
      </c>
      <c r="T160" s="38">
        <f t="shared" si="82"/>
        <v>190.33059594459479</v>
      </c>
      <c r="U160" s="38">
        <f t="shared" si="82"/>
        <v>190.33059594459479</v>
      </c>
      <c r="V160" s="38">
        <f t="shared" si="82"/>
        <v>190.33059594459479</v>
      </c>
      <c r="W160" s="38">
        <f t="shared" si="82"/>
        <v>190.33059594459479</v>
      </c>
      <c r="X160" s="38">
        <f t="shared" si="82"/>
        <v>190.33059594459479</v>
      </c>
      <c r="Y160" s="38">
        <f t="shared" si="82"/>
        <v>190.33059594459479</v>
      </c>
      <c r="Z160" s="38">
        <f t="shared" si="82"/>
        <v>190.33059594459479</v>
      </c>
      <c r="AA160" s="38">
        <f t="shared" si="82"/>
        <v>190.33059594459479</v>
      </c>
      <c r="AB160" s="38">
        <f t="shared" si="82"/>
        <v>190.33059594459479</v>
      </c>
      <c r="AC160" s="38">
        <f t="shared" si="82"/>
        <v>190.33059594459479</v>
      </c>
    </row>
    <row r="161" spans="1:29" s="85" customFormat="1" x14ac:dyDescent="0.3">
      <c r="A161" s="31"/>
      <c r="B161" s="31"/>
      <c r="C161" s="93"/>
      <c r="D161" s="85" t="str">
        <f t="shared" si="78"/>
        <v>Reefer Power Packs, 30 plugs, dual engine, Tier 3, 400 HP CAT</v>
      </c>
      <c r="E161" s="85" t="s">
        <v>366</v>
      </c>
      <c r="G161" s="11">
        <f t="shared" si="77"/>
        <v>723.66649080000002</v>
      </c>
      <c r="I161" s="38">
        <f>I48*'7_PARAMS'!$D$27</f>
        <v>361.83324540000001</v>
      </c>
      <c r="J161" s="38">
        <f>J48*'7_PARAMS'!$D$27</f>
        <v>361.83324540000001</v>
      </c>
      <c r="K161" s="38">
        <f>K48*'7_PARAMS'!$D$27</f>
        <v>0</v>
      </c>
      <c r="L161" s="38">
        <f>L48*'7_PARAMS'!$D$27</f>
        <v>0</v>
      </c>
      <c r="M161" s="38">
        <f>M48*'7_PARAMS'!$D$27</f>
        <v>0</v>
      </c>
      <c r="N161" s="38">
        <f>N48*'7_PARAMS'!$D$27</f>
        <v>0</v>
      </c>
      <c r="O161" s="38">
        <f>O48*'7_PARAMS'!$D$27</f>
        <v>0</v>
      </c>
      <c r="P161" s="38">
        <f>P48*'7_PARAMS'!$D$27</f>
        <v>0</v>
      </c>
      <c r="Q161" s="38">
        <f>Q48*'7_PARAMS'!$D$27</f>
        <v>0</v>
      </c>
      <c r="R161" s="38">
        <f>R48*'7_PARAMS'!$D$27</f>
        <v>0</v>
      </c>
      <c r="S161" s="38">
        <f>S48*'7_PARAMS'!$D$27</f>
        <v>0</v>
      </c>
      <c r="T161" s="38">
        <f>T48*'7_PARAMS'!$D$27</f>
        <v>0</v>
      </c>
      <c r="U161" s="38">
        <f>U48*'7_PARAMS'!$D$27</f>
        <v>0</v>
      </c>
      <c r="V161" s="38">
        <f>V48*'7_PARAMS'!$D$27</f>
        <v>0</v>
      </c>
      <c r="W161" s="38">
        <f>W48*'7_PARAMS'!$D$27</f>
        <v>0</v>
      </c>
      <c r="X161" s="38">
        <f>X48*'7_PARAMS'!$D$27</f>
        <v>0</v>
      </c>
      <c r="Y161" s="38">
        <f>Y48*'7_PARAMS'!$D$27</f>
        <v>0</v>
      </c>
      <c r="Z161" s="38">
        <f>Z48*'7_PARAMS'!$D$27</f>
        <v>0</v>
      </c>
      <c r="AA161" s="38">
        <f>AA48*'7_PARAMS'!$D$27</f>
        <v>0</v>
      </c>
      <c r="AB161" s="38">
        <f>AB48*'7_PARAMS'!$D$27</f>
        <v>0</v>
      </c>
      <c r="AC161" s="38">
        <f>AC48*'7_PARAMS'!$D$27</f>
        <v>0</v>
      </c>
    </row>
    <row r="162" spans="1:29" s="85" customFormat="1" x14ac:dyDescent="0.3">
      <c r="A162" s="31"/>
      <c r="B162" s="31"/>
      <c r="C162" s="93"/>
      <c r="D162" s="85" t="str">
        <f t="shared" si="78"/>
        <v>Reefer Power Packs, 30 plugs, single engine, Tier 3 400 HP CAT</v>
      </c>
      <c r="E162" s="85" t="s">
        <v>366</v>
      </c>
      <c r="G162" s="11">
        <f t="shared" si="77"/>
        <v>296.04538259999998</v>
      </c>
      <c r="I162" s="38">
        <f>I49*'7_PARAMS'!$D$27</f>
        <v>296.04538259999998</v>
      </c>
      <c r="J162" s="38">
        <f>J49*'7_PARAMS'!$D$27</f>
        <v>0</v>
      </c>
      <c r="K162" s="38">
        <f>K49*'7_PARAMS'!$D$27</f>
        <v>0</v>
      </c>
      <c r="L162" s="38">
        <f>L49*'7_PARAMS'!$D$27</f>
        <v>0</v>
      </c>
      <c r="M162" s="38">
        <f>M49*'7_PARAMS'!$D$27</f>
        <v>0</v>
      </c>
      <c r="N162" s="38">
        <f>N49*'7_PARAMS'!$D$27</f>
        <v>0</v>
      </c>
      <c r="O162" s="38">
        <f>O49*'7_PARAMS'!$D$27</f>
        <v>0</v>
      </c>
      <c r="P162" s="38">
        <f>P49*'7_PARAMS'!$D$27</f>
        <v>0</v>
      </c>
      <c r="Q162" s="38">
        <f>Q49*'7_PARAMS'!$D$27</f>
        <v>0</v>
      </c>
      <c r="R162" s="38">
        <f>R49*'7_PARAMS'!$D$27</f>
        <v>0</v>
      </c>
      <c r="S162" s="38">
        <f>S49*'7_PARAMS'!$D$27</f>
        <v>0</v>
      </c>
      <c r="T162" s="38">
        <f>T49*'7_PARAMS'!$D$27</f>
        <v>0</v>
      </c>
      <c r="U162" s="38">
        <f>U49*'7_PARAMS'!$D$27</f>
        <v>0</v>
      </c>
      <c r="V162" s="38">
        <f>V49*'7_PARAMS'!$D$27</f>
        <v>0</v>
      </c>
      <c r="W162" s="38">
        <f>W49*'7_PARAMS'!$D$27</f>
        <v>0</v>
      </c>
      <c r="X162" s="38">
        <f>X49*'7_PARAMS'!$D$27</f>
        <v>0</v>
      </c>
      <c r="Y162" s="38">
        <f>Y49*'7_PARAMS'!$D$27</f>
        <v>0</v>
      </c>
      <c r="Z162" s="38">
        <f>Z49*'7_PARAMS'!$D$27</f>
        <v>0</v>
      </c>
      <c r="AA162" s="38">
        <f>AA49*'7_PARAMS'!$D$27</f>
        <v>0</v>
      </c>
      <c r="AB162" s="38">
        <f>AB49*'7_PARAMS'!$D$27</f>
        <v>0</v>
      </c>
      <c r="AC162" s="38">
        <f>AC49*'7_PARAMS'!$D$27</f>
        <v>0</v>
      </c>
    </row>
    <row r="163" spans="1:29" s="85" customFormat="1" x14ac:dyDescent="0.3">
      <c r="A163" s="31"/>
      <c r="B163" s="31"/>
      <c r="C163" s="93"/>
      <c r="D163" s="85" t="str">
        <f t="shared" si="78"/>
        <v>Nose Mount genset 1 plug, single engine, Tier 3, 32-34HP, Kubota / Carrier or Yanmar</v>
      </c>
      <c r="E163" s="85" t="s">
        <v>366</v>
      </c>
      <c r="G163" s="11">
        <f t="shared" si="77"/>
        <v>1315.7572560000001</v>
      </c>
      <c r="I163" s="38">
        <f>I50*'7_PARAMS'!$D$27</f>
        <v>1315.7572560000001</v>
      </c>
      <c r="J163" s="38">
        <f>J50*'7_PARAMS'!$D$27</f>
        <v>0</v>
      </c>
      <c r="K163" s="38">
        <f>K50*'7_PARAMS'!$D$27</f>
        <v>0</v>
      </c>
      <c r="L163" s="38">
        <f>L50*'7_PARAMS'!$D$27</f>
        <v>0</v>
      </c>
      <c r="M163" s="38">
        <f>M50*'7_PARAMS'!$D$27</f>
        <v>0</v>
      </c>
      <c r="N163" s="38">
        <f>N50*'7_PARAMS'!$D$27</f>
        <v>0</v>
      </c>
      <c r="O163" s="38">
        <f>O50*'7_PARAMS'!$D$27</f>
        <v>0</v>
      </c>
      <c r="P163" s="38">
        <f>P50*'7_PARAMS'!$D$27</f>
        <v>0</v>
      </c>
      <c r="Q163" s="38">
        <f>Q50*'7_PARAMS'!$D$27</f>
        <v>0</v>
      </c>
      <c r="R163" s="38">
        <f>R50*'7_PARAMS'!$D$27</f>
        <v>0</v>
      </c>
      <c r="S163" s="38">
        <f>S50*'7_PARAMS'!$D$27</f>
        <v>0</v>
      </c>
      <c r="T163" s="38">
        <f>T50*'7_PARAMS'!$D$27</f>
        <v>0</v>
      </c>
      <c r="U163" s="38">
        <f>U50*'7_PARAMS'!$D$27</f>
        <v>0</v>
      </c>
      <c r="V163" s="38">
        <f>V50*'7_PARAMS'!$D$27</f>
        <v>0</v>
      </c>
      <c r="W163" s="38">
        <f>W50*'7_PARAMS'!$D$27</f>
        <v>0</v>
      </c>
      <c r="X163" s="38">
        <f>X50*'7_PARAMS'!$D$27</f>
        <v>0</v>
      </c>
      <c r="Y163" s="38">
        <f>Y50*'7_PARAMS'!$D$27</f>
        <v>0</v>
      </c>
      <c r="Z163" s="38">
        <f>Z50*'7_PARAMS'!$D$27</f>
        <v>0</v>
      </c>
      <c r="AA163" s="38">
        <f>AA50*'7_PARAMS'!$D$27</f>
        <v>0</v>
      </c>
      <c r="AB163" s="38">
        <f>AB50*'7_PARAMS'!$D$27</f>
        <v>0</v>
      </c>
      <c r="AC163" s="38">
        <f>AC50*'7_PARAMS'!$D$27</f>
        <v>0</v>
      </c>
    </row>
    <row r="164" spans="1:29" s="85" customFormat="1" x14ac:dyDescent="0.3">
      <c r="A164" s="31"/>
      <c r="B164" s="31"/>
      <c r="C164" s="93"/>
      <c r="D164" s="85" t="str">
        <f t="shared" si="78"/>
        <v>Reefer, electric</v>
      </c>
      <c r="E164" s="85" t="s">
        <v>366</v>
      </c>
      <c r="G164" s="11">
        <f t="shared" si="77"/>
        <v>35216.921806730883</v>
      </c>
      <c r="I164" s="38">
        <f>$M$78/1000*I51/2204.62</f>
        <v>654.18430600738463</v>
      </c>
      <c r="J164" s="38">
        <f t="shared" ref="J164:AC164" si="83">$M$78/1000*J51/2204.62</f>
        <v>1417.3993296826668</v>
      </c>
      <c r="K164" s="38">
        <f t="shared" si="83"/>
        <v>1744.4914826863592</v>
      </c>
      <c r="L164" s="38">
        <f t="shared" si="83"/>
        <v>1744.4914826863592</v>
      </c>
      <c r="M164" s="38">
        <f t="shared" si="83"/>
        <v>1744.4914826863592</v>
      </c>
      <c r="N164" s="38">
        <f t="shared" si="83"/>
        <v>1744.4914826863592</v>
      </c>
      <c r="O164" s="38">
        <f t="shared" si="83"/>
        <v>1744.4914826863592</v>
      </c>
      <c r="P164" s="38">
        <f t="shared" si="83"/>
        <v>1744.4914826863592</v>
      </c>
      <c r="Q164" s="38">
        <f t="shared" si="83"/>
        <v>1744.4914826863592</v>
      </c>
      <c r="R164" s="38">
        <f t="shared" si="83"/>
        <v>1744.4914826863592</v>
      </c>
      <c r="S164" s="38">
        <f t="shared" si="83"/>
        <v>1744.4914826863592</v>
      </c>
      <c r="T164" s="38">
        <f t="shared" si="83"/>
        <v>1744.4914826863592</v>
      </c>
      <c r="U164" s="38">
        <f t="shared" si="83"/>
        <v>1744.4914826863592</v>
      </c>
      <c r="V164" s="38">
        <f t="shared" si="83"/>
        <v>1744.4914826863592</v>
      </c>
      <c r="W164" s="38">
        <f t="shared" si="83"/>
        <v>1744.4914826863592</v>
      </c>
      <c r="X164" s="38">
        <f t="shared" si="83"/>
        <v>1744.4914826863592</v>
      </c>
      <c r="Y164" s="38">
        <f t="shared" si="83"/>
        <v>1744.4914826863592</v>
      </c>
      <c r="Z164" s="38">
        <f t="shared" si="83"/>
        <v>1744.4914826863592</v>
      </c>
      <c r="AA164" s="38">
        <f t="shared" si="83"/>
        <v>1744.4914826863592</v>
      </c>
      <c r="AB164" s="38">
        <f t="shared" si="83"/>
        <v>1744.4914826863592</v>
      </c>
      <c r="AC164" s="38">
        <f t="shared" si="83"/>
        <v>1744.4914826863592</v>
      </c>
    </row>
    <row r="165" spans="1:29" s="85" customFormat="1" x14ac:dyDescent="0.3">
      <c r="A165" s="31"/>
      <c r="B165" s="31"/>
      <c r="C165" s="93"/>
      <c r="D165" s="31" t="str">
        <f t="shared" si="78"/>
        <v>TOTAL</v>
      </c>
      <c r="E165" s="85" t="s">
        <v>366</v>
      </c>
      <c r="G165" s="72">
        <f t="shared" si="77"/>
        <v>113330.83151626201</v>
      </c>
      <c r="I165" s="74">
        <f>SUM(I151:I164)</f>
        <v>7497.3767737061289</v>
      </c>
      <c r="J165" s="74">
        <f t="shared" ref="J165:AC165" si="84">SUM(J151:J164)</f>
        <v>6008.551165102218</v>
      </c>
      <c r="K165" s="74">
        <f t="shared" si="84"/>
        <v>5253.9422935501925</v>
      </c>
      <c r="L165" s="74">
        <f t="shared" si="84"/>
        <v>5253.9422935501925</v>
      </c>
      <c r="M165" s="74">
        <f t="shared" si="84"/>
        <v>5253.9422935501925</v>
      </c>
      <c r="N165" s="74">
        <f t="shared" si="84"/>
        <v>5253.9422935501925</v>
      </c>
      <c r="O165" s="74">
        <f t="shared" si="84"/>
        <v>5253.9422935501925</v>
      </c>
      <c r="P165" s="74">
        <f t="shared" si="84"/>
        <v>5253.9422935501925</v>
      </c>
      <c r="Q165" s="74">
        <f t="shared" si="84"/>
        <v>5253.9422935501925</v>
      </c>
      <c r="R165" s="74">
        <f t="shared" si="84"/>
        <v>5253.9422935501925</v>
      </c>
      <c r="S165" s="74">
        <f t="shared" si="84"/>
        <v>5253.9422935501925</v>
      </c>
      <c r="T165" s="74">
        <f t="shared" si="84"/>
        <v>5253.9422935501925</v>
      </c>
      <c r="U165" s="74">
        <f t="shared" si="84"/>
        <v>5253.9422935501925</v>
      </c>
      <c r="V165" s="74">
        <f t="shared" si="84"/>
        <v>5253.9422935501925</v>
      </c>
      <c r="W165" s="74">
        <f t="shared" si="84"/>
        <v>5253.9422935501925</v>
      </c>
      <c r="X165" s="74">
        <f t="shared" si="84"/>
        <v>5253.9422935501925</v>
      </c>
      <c r="Y165" s="74">
        <f t="shared" si="84"/>
        <v>5253.9422935501925</v>
      </c>
      <c r="Z165" s="74">
        <f t="shared" si="84"/>
        <v>5253.9422935501925</v>
      </c>
      <c r="AA165" s="74">
        <f t="shared" si="84"/>
        <v>5253.9422935501925</v>
      </c>
      <c r="AB165" s="74">
        <f t="shared" si="84"/>
        <v>5253.9422935501925</v>
      </c>
      <c r="AC165" s="74">
        <f t="shared" si="84"/>
        <v>5253.9422935501925</v>
      </c>
    </row>
    <row r="166" spans="1:29" s="85" customFormat="1" x14ac:dyDescent="0.3">
      <c r="A166" s="31"/>
      <c r="B166" s="31"/>
      <c r="C166" s="31"/>
      <c r="G166" s="87"/>
    </row>
    <row r="167" spans="1:29" s="30" customFormat="1" x14ac:dyDescent="0.3">
      <c r="A167" s="31"/>
      <c r="B167" s="31"/>
      <c r="C167" s="93" t="s">
        <v>377</v>
      </c>
      <c r="D167" s="31" t="s">
        <v>361</v>
      </c>
      <c r="G167" s="7"/>
    </row>
    <row r="168" spans="1:29" s="30" customFormat="1" x14ac:dyDescent="0.3">
      <c r="A168" s="31"/>
      <c r="B168" s="31"/>
      <c r="C168" s="93"/>
      <c r="D168" s="30" t="str">
        <f t="shared" ref="D168:D182" si="85">D100</f>
        <v>Top Pick</v>
      </c>
      <c r="E168" s="85" t="str">
        <f t="shared" ref="E168:E182" si="86">E134</f>
        <v>tons/yr</v>
      </c>
      <c r="G168" s="11">
        <f t="shared" ref="G168:G182" si="87">SUM(I168:AC168)</f>
        <v>379.86744226861993</v>
      </c>
      <c r="I168" s="98">
        <f>I$342*I$58</f>
        <v>50.25161183324122</v>
      </c>
      <c r="J168" s="98">
        <f t="shared" ref="J168:AC168" si="88">J$342*J$58</f>
        <v>50.25161183324122</v>
      </c>
      <c r="K168" s="98">
        <f t="shared" si="88"/>
        <v>50.25161183324122</v>
      </c>
      <c r="L168" s="98">
        <f t="shared" si="88"/>
        <v>45.058634936545609</v>
      </c>
      <c r="M168" s="98">
        <f t="shared" si="88"/>
        <v>39.865649985330791</v>
      </c>
      <c r="N168" s="98">
        <f t="shared" si="88"/>
        <v>34.685079172259627</v>
      </c>
      <c r="O168" s="98">
        <f t="shared" si="88"/>
        <v>29.643192615898229</v>
      </c>
      <c r="P168" s="98">
        <f t="shared" si="88"/>
        <v>24.352018499151733</v>
      </c>
      <c r="Q168" s="98">
        <f t="shared" si="88"/>
        <v>19.214282719520938</v>
      </c>
      <c r="R168" s="98">
        <f t="shared" si="88"/>
        <v>14.076546939890141</v>
      </c>
      <c r="S168" s="98">
        <f t="shared" si="88"/>
        <v>8.9388111602593359</v>
      </c>
      <c r="T168" s="98">
        <f t="shared" si="88"/>
        <v>4.4373515098017871</v>
      </c>
      <c r="U168" s="98">
        <f t="shared" si="88"/>
        <v>0.98233769224868184</v>
      </c>
      <c r="V168" s="98">
        <f t="shared" si="88"/>
        <v>0.98233769224868184</v>
      </c>
      <c r="W168" s="98">
        <f t="shared" si="88"/>
        <v>0.98233769224868184</v>
      </c>
      <c r="X168" s="98">
        <f t="shared" si="88"/>
        <v>0.98233769224868184</v>
      </c>
      <c r="Y168" s="98">
        <f t="shared" si="88"/>
        <v>0.98233769224868184</v>
      </c>
      <c r="Z168" s="98">
        <f t="shared" si="88"/>
        <v>0.98233769224868184</v>
      </c>
      <c r="AA168" s="98">
        <f t="shared" si="88"/>
        <v>0.98233769224868184</v>
      </c>
      <c r="AB168" s="98">
        <f t="shared" si="88"/>
        <v>0.98233769224868184</v>
      </c>
      <c r="AC168" s="98">
        <f t="shared" si="88"/>
        <v>0.98233769224868184</v>
      </c>
    </row>
    <row r="169" spans="1:29" s="30" customFormat="1" x14ac:dyDescent="0.3">
      <c r="A169" s="31"/>
      <c r="B169" s="31"/>
      <c r="C169" s="93"/>
      <c r="D169" s="85" t="str">
        <f t="shared" si="85"/>
        <v>RTGs, Hybrid</v>
      </c>
      <c r="E169" s="85" t="str">
        <f t="shared" si="86"/>
        <v>tons/yr</v>
      </c>
      <c r="G169" s="11">
        <f t="shared" si="87"/>
        <v>0</v>
      </c>
      <c r="I169" s="98">
        <f>$L85*I59</f>
        <v>0</v>
      </c>
      <c r="J169" s="98">
        <f t="shared" ref="J169:AC169" si="89">$L85*J59</f>
        <v>0</v>
      </c>
      <c r="K169" s="98">
        <f t="shared" si="89"/>
        <v>0</v>
      </c>
      <c r="L169" s="98">
        <f t="shared" si="89"/>
        <v>0</v>
      </c>
      <c r="M169" s="98">
        <f t="shared" si="89"/>
        <v>0</v>
      </c>
      <c r="N169" s="98">
        <f t="shared" si="89"/>
        <v>0</v>
      </c>
      <c r="O169" s="98">
        <f t="shared" si="89"/>
        <v>0</v>
      </c>
      <c r="P169" s="98">
        <f t="shared" si="89"/>
        <v>0</v>
      </c>
      <c r="Q169" s="98">
        <f t="shared" si="89"/>
        <v>0</v>
      </c>
      <c r="R169" s="98">
        <f t="shared" si="89"/>
        <v>0</v>
      </c>
      <c r="S169" s="98">
        <f t="shared" si="89"/>
        <v>0</v>
      </c>
      <c r="T169" s="98">
        <f t="shared" si="89"/>
        <v>0</v>
      </c>
      <c r="U169" s="98">
        <f t="shared" si="89"/>
        <v>0</v>
      </c>
      <c r="V169" s="98">
        <f t="shared" si="89"/>
        <v>0</v>
      </c>
      <c r="W169" s="98">
        <f t="shared" si="89"/>
        <v>0</v>
      </c>
      <c r="X169" s="98">
        <f t="shared" si="89"/>
        <v>0</v>
      </c>
      <c r="Y169" s="98">
        <f t="shared" si="89"/>
        <v>0</v>
      </c>
      <c r="Z169" s="98">
        <f t="shared" si="89"/>
        <v>0</v>
      </c>
      <c r="AA169" s="98">
        <f t="shared" si="89"/>
        <v>0</v>
      </c>
      <c r="AB169" s="98">
        <f t="shared" si="89"/>
        <v>0</v>
      </c>
      <c r="AC169" s="98">
        <f t="shared" si="89"/>
        <v>0</v>
      </c>
    </row>
    <row r="170" spans="1:29" s="30" customFormat="1" x14ac:dyDescent="0.3">
      <c r="A170" s="31"/>
      <c r="B170" s="31"/>
      <c r="C170" s="93"/>
      <c r="D170" s="85" t="str">
        <f t="shared" si="85"/>
        <v>Forklift, 10000 lb, Diesel</v>
      </c>
      <c r="E170" s="85" t="str">
        <f t="shared" si="86"/>
        <v>tons/yr</v>
      </c>
      <c r="G170" s="11">
        <f t="shared" si="87"/>
        <v>26.624907600030788</v>
      </c>
      <c r="I170" s="98">
        <f>$L86*I60</f>
        <v>1.2678527428586095</v>
      </c>
      <c r="J170" s="98">
        <f t="shared" ref="J170:AC174" si="90">$L86*J60</f>
        <v>1.2678527428586095</v>
      </c>
      <c r="K170" s="98">
        <f t="shared" si="90"/>
        <v>1.2678527428586095</v>
      </c>
      <c r="L170" s="98">
        <f t="shared" si="90"/>
        <v>1.2678527428586095</v>
      </c>
      <c r="M170" s="98">
        <f t="shared" si="90"/>
        <v>1.2678527428586095</v>
      </c>
      <c r="N170" s="98">
        <f t="shared" si="90"/>
        <v>1.2678527428586095</v>
      </c>
      <c r="O170" s="98">
        <f t="shared" si="90"/>
        <v>1.2678527428586095</v>
      </c>
      <c r="P170" s="98">
        <f t="shared" si="90"/>
        <v>1.2678527428586095</v>
      </c>
      <c r="Q170" s="98">
        <f t="shared" si="90"/>
        <v>1.2678527428586095</v>
      </c>
      <c r="R170" s="98">
        <f t="shared" si="90"/>
        <v>1.2678527428586095</v>
      </c>
      <c r="S170" s="98">
        <f t="shared" si="90"/>
        <v>1.2678527428586095</v>
      </c>
      <c r="T170" s="98">
        <f t="shared" si="90"/>
        <v>1.2678527428586095</v>
      </c>
      <c r="U170" s="98">
        <f t="shared" si="90"/>
        <v>1.2678527428586095</v>
      </c>
      <c r="V170" s="98">
        <f t="shared" si="90"/>
        <v>1.2678527428586095</v>
      </c>
      <c r="W170" s="98">
        <f t="shared" si="90"/>
        <v>1.2678527428586095</v>
      </c>
      <c r="X170" s="98">
        <f t="shared" si="90"/>
        <v>1.2678527428586095</v>
      </c>
      <c r="Y170" s="98">
        <f t="shared" si="90"/>
        <v>1.2678527428586095</v>
      </c>
      <c r="Z170" s="98">
        <f t="shared" si="90"/>
        <v>1.2678527428586095</v>
      </c>
      <c r="AA170" s="98">
        <f t="shared" si="90"/>
        <v>1.2678527428586095</v>
      </c>
      <c r="AB170" s="98">
        <f t="shared" si="90"/>
        <v>1.2678527428586095</v>
      </c>
      <c r="AC170" s="98">
        <f t="shared" si="90"/>
        <v>1.2678527428586095</v>
      </c>
    </row>
    <row r="171" spans="1:29" s="30" customFormat="1" x14ac:dyDescent="0.3">
      <c r="A171" s="31"/>
      <c r="B171" s="31"/>
      <c r="C171" s="93"/>
      <c r="D171" s="85" t="str">
        <f t="shared" si="85"/>
        <v>Forklift, 10000 lb, electric</v>
      </c>
      <c r="E171" s="85" t="str">
        <f t="shared" si="86"/>
        <v>tons/yr</v>
      </c>
      <c r="G171" s="11">
        <f t="shared" si="87"/>
        <v>0</v>
      </c>
      <c r="I171" s="38">
        <f t="shared" ref="I171:AC171" si="91">$L87*I61/2000</f>
        <v>0</v>
      </c>
      <c r="J171" s="38">
        <f t="shared" si="91"/>
        <v>0</v>
      </c>
      <c r="K171" s="38">
        <f t="shared" si="91"/>
        <v>0</v>
      </c>
      <c r="L171" s="38">
        <f t="shared" si="91"/>
        <v>0</v>
      </c>
      <c r="M171" s="38">
        <f t="shared" si="91"/>
        <v>0</v>
      </c>
      <c r="N171" s="38">
        <f t="shared" si="91"/>
        <v>0</v>
      </c>
      <c r="O171" s="38">
        <f t="shared" si="91"/>
        <v>0</v>
      </c>
      <c r="P171" s="38">
        <f t="shared" si="91"/>
        <v>0</v>
      </c>
      <c r="Q171" s="38">
        <f t="shared" si="91"/>
        <v>0</v>
      </c>
      <c r="R171" s="38">
        <f t="shared" si="91"/>
        <v>0</v>
      </c>
      <c r="S171" s="38">
        <f t="shared" si="91"/>
        <v>0</v>
      </c>
      <c r="T171" s="38">
        <f t="shared" si="91"/>
        <v>0</v>
      </c>
      <c r="U171" s="38">
        <f t="shared" si="91"/>
        <v>0</v>
      </c>
      <c r="V171" s="38">
        <f t="shared" si="91"/>
        <v>0</v>
      </c>
      <c r="W171" s="38">
        <f t="shared" si="91"/>
        <v>0</v>
      </c>
      <c r="X171" s="38">
        <f t="shared" si="91"/>
        <v>0</v>
      </c>
      <c r="Y171" s="38">
        <f t="shared" si="91"/>
        <v>0</v>
      </c>
      <c r="Z171" s="38">
        <f t="shared" si="91"/>
        <v>0</v>
      </c>
      <c r="AA171" s="38">
        <f t="shared" si="91"/>
        <v>0</v>
      </c>
      <c r="AB171" s="38">
        <f t="shared" si="91"/>
        <v>0</v>
      </c>
      <c r="AC171" s="38">
        <f t="shared" si="91"/>
        <v>0</v>
      </c>
    </row>
    <row r="172" spans="1:29" s="30" customFormat="1" x14ac:dyDescent="0.3">
      <c r="A172" s="31"/>
      <c r="B172" s="31"/>
      <c r="C172" s="93"/>
      <c r="D172" s="85" t="str">
        <f t="shared" si="85"/>
        <v>Forklift, 18000 lb, Diesel</v>
      </c>
      <c r="E172" s="85" t="str">
        <f t="shared" si="86"/>
        <v>tons/yr</v>
      </c>
      <c r="G172" s="11">
        <f t="shared" si="87"/>
        <v>44.374846000051328</v>
      </c>
      <c r="I172" s="98">
        <f>$L88*I62</f>
        <v>2.1130879047643489</v>
      </c>
      <c r="J172" s="98">
        <f t="shared" si="90"/>
        <v>2.1130879047643489</v>
      </c>
      <c r="K172" s="98">
        <f t="shared" si="90"/>
        <v>2.1130879047643489</v>
      </c>
      <c r="L172" s="98">
        <f t="shared" si="90"/>
        <v>2.1130879047643489</v>
      </c>
      <c r="M172" s="98">
        <f t="shared" si="90"/>
        <v>2.1130879047643489</v>
      </c>
      <c r="N172" s="98">
        <f t="shared" si="90"/>
        <v>2.1130879047643489</v>
      </c>
      <c r="O172" s="98">
        <f t="shared" si="90"/>
        <v>2.1130879047643489</v>
      </c>
      <c r="P172" s="98">
        <f t="shared" si="90"/>
        <v>2.1130879047643489</v>
      </c>
      <c r="Q172" s="98">
        <f t="shared" si="90"/>
        <v>2.1130879047643489</v>
      </c>
      <c r="R172" s="98">
        <f t="shared" si="90"/>
        <v>2.1130879047643489</v>
      </c>
      <c r="S172" s="98">
        <f t="shared" si="90"/>
        <v>2.1130879047643489</v>
      </c>
      <c r="T172" s="98">
        <f t="shared" si="90"/>
        <v>2.1130879047643489</v>
      </c>
      <c r="U172" s="98">
        <f t="shared" si="90"/>
        <v>2.1130879047643489</v>
      </c>
      <c r="V172" s="98">
        <f t="shared" si="90"/>
        <v>2.1130879047643489</v>
      </c>
      <c r="W172" s="98">
        <f t="shared" si="90"/>
        <v>2.1130879047643489</v>
      </c>
      <c r="X172" s="98">
        <f t="shared" si="90"/>
        <v>2.1130879047643489</v>
      </c>
      <c r="Y172" s="98">
        <f t="shared" si="90"/>
        <v>2.1130879047643489</v>
      </c>
      <c r="Z172" s="98">
        <f t="shared" si="90"/>
        <v>2.1130879047643489</v>
      </c>
      <c r="AA172" s="98">
        <f t="shared" si="90"/>
        <v>2.1130879047643489</v>
      </c>
      <c r="AB172" s="98">
        <f t="shared" si="90"/>
        <v>2.1130879047643489</v>
      </c>
      <c r="AC172" s="98">
        <f t="shared" si="90"/>
        <v>2.1130879047643489</v>
      </c>
    </row>
    <row r="173" spans="1:29" s="30" customFormat="1" x14ac:dyDescent="0.3">
      <c r="A173" s="31"/>
      <c r="B173" s="31"/>
      <c r="C173" s="93"/>
      <c r="D173" s="85" t="str">
        <f t="shared" si="85"/>
        <v>Forklift, 18000 lb, electric</v>
      </c>
      <c r="E173" s="85" t="str">
        <f t="shared" si="86"/>
        <v>tons/yr</v>
      </c>
      <c r="G173" s="11">
        <f t="shared" si="87"/>
        <v>0</v>
      </c>
      <c r="I173" s="38">
        <f t="shared" ref="I173:AC173" si="92">$L89*I63/2000</f>
        <v>0</v>
      </c>
      <c r="J173" s="38">
        <f t="shared" si="92"/>
        <v>0</v>
      </c>
      <c r="K173" s="38">
        <f t="shared" si="92"/>
        <v>0</v>
      </c>
      <c r="L173" s="38">
        <f t="shared" si="92"/>
        <v>0</v>
      </c>
      <c r="M173" s="38">
        <f t="shared" si="92"/>
        <v>0</v>
      </c>
      <c r="N173" s="38">
        <f t="shared" si="92"/>
        <v>0</v>
      </c>
      <c r="O173" s="38">
        <f t="shared" si="92"/>
        <v>0</v>
      </c>
      <c r="P173" s="38">
        <f t="shared" si="92"/>
        <v>0</v>
      </c>
      <c r="Q173" s="38">
        <f t="shared" si="92"/>
        <v>0</v>
      </c>
      <c r="R173" s="38">
        <f t="shared" si="92"/>
        <v>0</v>
      </c>
      <c r="S173" s="38">
        <f t="shared" si="92"/>
        <v>0</v>
      </c>
      <c r="T173" s="38">
        <f t="shared" si="92"/>
        <v>0</v>
      </c>
      <c r="U173" s="38">
        <f t="shared" si="92"/>
        <v>0</v>
      </c>
      <c r="V173" s="38">
        <f t="shared" si="92"/>
        <v>0</v>
      </c>
      <c r="W173" s="38">
        <f t="shared" si="92"/>
        <v>0</v>
      </c>
      <c r="X173" s="38">
        <f t="shared" si="92"/>
        <v>0</v>
      </c>
      <c r="Y173" s="38">
        <f t="shared" si="92"/>
        <v>0</v>
      </c>
      <c r="Z173" s="38">
        <f t="shared" si="92"/>
        <v>0</v>
      </c>
      <c r="AA173" s="38">
        <f t="shared" si="92"/>
        <v>0</v>
      </c>
      <c r="AB173" s="38">
        <f t="shared" si="92"/>
        <v>0</v>
      </c>
      <c r="AC173" s="38">
        <f t="shared" si="92"/>
        <v>0</v>
      </c>
    </row>
    <row r="174" spans="1:29" s="30" customFormat="1" x14ac:dyDescent="0.3">
      <c r="A174" s="31"/>
      <c r="B174" s="31"/>
      <c r="C174" s="93"/>
      <c r="D174" s="85" t="str">
        <f t="shared" si="85"/>
        <v>Forklift, 36000 lb, diesel</v>
      </c>
      <c r="E174" s="85" t="str">
        <f t="shared" si="86"/>
        <v>tons/yr</v>
      </c>
      <c r="G174" s="11">
        <f t="shared" si="87"/>
        <v>97.644107553731388</v>
      </c>
      <c r="I174" s="98">
        <f>$L90*I64</f>
        <v>4.649719407320541</v>
      </c>
      <c r="J174" s="98">
        <f t="shared" si="90"/>
        <v>4.649719407320541</v>
      </c>
      <c r="K174" s="98">
        <f t="shared" si="90"/>
        <v>4.649719407320541</v>
      </c>
      <c r="L174" s="98">
        <f t="shared" si="90"/>
        <v>4.649719407320541</v>
      </c>
      <c r="M174" s="98">
        <f t="shared" si="90"/>
        <v>4.649719407320541</v>
      </c>
      <c r="N174" s="98">
        <f t="shared" si="90"/>
        <v>4.649719407320541</v>
      </c>
      <c r="O174" s="98">
        <f t="shared" si="90"/>
        <v>4.649719407320541</v>
      </c>
      <c r="P174" s="98">
        <f t="shared" si="90"/>
        <v>4.649719407320541</v>
      </c>
      <c r="Q174" s="98">
        <f t="shared" si="90"/>
        <v>4.649719407320541</v>
      </c>
      <c r="R174" s="98">
        <f t="shared" si="90"/>
        <v>4.649719407320541</v>
      </c>
      <c r="S174" s="98">
        <f t="shared" si="90"/>
        <v>4.649719407320541</v>
      </c>
      <c r="T174" s="98">
        <f t="shared" si="90"/>
        <v>4.649719407320541</v>
      </c>
      <c r="U174" s="98">
        <f t="shared" si="90"/>
        <v>4.649719407320541</v>
      </c>
      <c r="V174" s="98">
        <f t="shared" si="90"/>
        <v>4.649719407320541</v>
      </c>
      <c r="W174" s="98">
        <f t="shared" si="90"/>
        <v>4.649719407320541</v>
      </c>
      <c r="X174" s="98">
        <f t="shared" si="90"/>
        <v>4.649719407320541</v>
      </c>
      <c r="Y174" s="98">
        <f t="shared" si="90"/>
        <v>4.649719407320541</v>
      </c>
      <c r="Z174" s="98">
        <f t="shared" si="90"/>
        <v>4.649719407320541</v>
      </c>
      <c r="AA174" s="98">
        <f t="shared" si="90"/>
        <v>4.649719407320541</v>
      </c>
      <c r="AB174" s="98">
        <f t="shared" si="90"/>
        <v>4.649719407320541</v>
      </c>
      <c r="AC174" s="98">
        <f t="shared" si="90"/>
        <v>4.649719407320541</v>
      </c>
    </row>
    <row r="175" spans="1:29" s="30" customFormat="1" x14ac:dyDescent="0.3">
      <c r="A175" s="31"/>
      <c r="B175" s="31"/>
      <c r="C175" s="93"/>
      <c r="D175" s="85" t="str">
        <f t="shared" si="85"/>
        <v>Forklift, 36000 lb, electric</v>
      </c>
      <c r="E175" s="85" t="str">
        <f t="shared" si="86"/>
        <v>tons/yr</v>
      </c>
      <c r="G175" s="11">
        <f t="shared" si="87"/>
        <v>0</v>
      </c>
      <c r="I175" s="38">
        <f t="shared" ref="I175:AC175" si="93">$L91*I65/2000</f>
        <v>0</v>
      </c>
      <c r="J175" s="38">
        <f t="shared" si="93"/>
        <v>0</v>
      </c>
      <c r="K175" s="38">
        <f t="shared" si="93"/>
        <v>0</v>
      </c>
      <c r="L175" s="38">
        <f t="shared" si="93"/>
        <v>0</v>
      </c>
      <c r="M175" s="38">
        <f t="shared" si="93"/>
        <v>0</v>
      </c>
      <c r="N175" s="38">
        <f t="shared" si="93"/>
        <v>0</v>
      </c>
      <c r="O175" s="38">
        <f t="shared" si="93"/>
        <v>0</v>
      </c>
      <c r="P175" s="38">
        <f t="shared" si="93"/>
        <v>0</v>
      </c>
      <c r="Q175" s="38">
        <f t="shared" si="93"/>
        <v>0</v>
      </c>
      <c r="R175" s="38">
        <f t="shared" si="93"/>
        <v>0</v>
      </c>
      <c r="S175" s="38">
        <f t="shared" si="93"/>
        <v>0</v>
      </c>
      <c r="T175" s="38">
        <f t="shared" si="93"/>
        <v>0</v>
      </c>
      <c r="U175" s="38">
        <f t="shared" si="93"/>
        <v>0</v>
      </c>
      <c r="V175" s="38">
        <f t="shared" si="93"/>
        <v>0</v>
      </c>
      <c r="W175" s="38">
        <f t="shared" si="93"/>
        <v>0</v>
      </c>
      <c r="X175" s="38">
        <f t="shared" si="93"/>
        <v>0</v>
      </c>
      <c r="Y175" s="38">
        <f t="shared" si="93"/>
        <v>0</v>
      </c>
      <c r="Z175" s="38">
        <f t="shared" si="93"/>
        <v>0</v>
      </c>
      <c r="AA175" s="38">
        <f t="shared" si="93"/>
        <v>0</v>
      </c>
      <c r="AB175" s="38">
        <f t="shared" si="93"/>
        <v>0</v>
      </c>
      <c r="AC175" s="38">
        <f t="shared" si="93"/>
        <v>0</v>
      </c>
    </row>
    <row r="176" spans="1:29" s="30" customFormat="1" x14ac:dyDescent="0.3">
      <c r="A176" s="31"/>
      <c r="B176" s="31"/>
      <c r="C176" s="93"/>
      <c r="D176" s="85" t="str">
        <f t="shared" si="85"/>
        <v>Yard Tractor, Diesel</v>
      </c>
      <c r="E176" s="85" t="str">
        <f t="shared" si="86"/>
        <v>tons/yr</v>
      </c>
      <c r="G176" s="11">
        <f t="shared" si="87"/>
        <v>27.072590583499007</v>
      </c>
      <c r="I176" s="98">
        <f>$L92*I66</f>
        <v>1.2891709801666191</v>
      </c>
      <c r="J176" s="98">
        <f t="shared" ref="J176:AC176" si="94">$L92*J66</f>
        <v>1.2891709801666191</v>
      </c>
      <c r="K176" s="98">
        <f t="shared" si="94"/>
        <v>1.2891709801666191</v>
      </c>
      <c r="L176" s="98">
        <f t="shared" si="94"/>
        <v>1.2891709801666191</v>
      </c>
      <c r="M176" s="98">
        <f t="shared" si="94"/>
        <v>1.2891709801666191</v>
      </c>
      <c r="N176" s="98">
        <f t="shared" si="94"/>
        <v>1.2891709801666191</v>
      </c>
      <c r="O176" s="98">
        <f t="shared" si="94"/>
        <v>1.2891709801666191</v>
      </c>
      <c r="P176" s="98">
        <f t="shared" si="94"/>
        <v>1.2891709801666191</v>
      </c>
      <c r="Q176" s="98">
        <f t="shared" si="94"/>
        <v>1.2891709801666191</v>
      </c>
      <c r="R176" s="98">
        <f t="shared" si="94"/>
        <v>1.2891709801666191</v>
      </c>
      <c r="S176" s="98">
        <f t="shared" si="94"/>
        <v>1.2891709801666191</v>
      </c>
      <c r="T176" s="98">
        <f t="shared" si="94"/>
        <v>1.2891709801666191</v>
      </c>
      <c r="U176" s="98">
        <f t="shared" si="94"/>
        <v>1.2891709801666191</v>
      </c>
      <c r="V176" s="98">
        <f t="shared" si="94"/>
        <v>1.2891709801666191</v>
      </c>
      <c r="W176" s="98">
        <f t="shared" si="94"/>
        <v>1.2891709801666191</v>
      </c>
      <c r="X176" s="98">
        <f t="shared" si="94"/>
        <v>1.2891709801666191</v>
      </c>
      <c r="Y176" s="98">
        <f t="shared" si="94"/>
        <v>1.2891709801666191</v>
      </c>
      <c r="Z176" s="98">
        <f t="shared" si="94"/>
        <v>1.2891709801666191</v>
      </c>
      <c r="AA176" s="98">
        <f t="shared" si="94"/>
        <v>1.2891709801666191</v>
      </c>
      <c r="AB176" s="98">
        <f t="shared" si="94"/>
        <v>1.2891709801666191</v>
      </c>
      <c r="AC176" s="98">
        <f t="shared" si="94"/>
        <v>1.2891709801666191</v>
      </c>
    </row>
    <row r="177" spans="1:29" s="30" customFormat="1" x14ac:dyDescent="0.3">
      <c r="A177" s="31"/>
      <c r="B177" s="31"/>
      <c r="C177" s="93"/>
      <c r="D177" s="85" t="str">
        <f t="shared" si="85"/>
        <v>Yard Tractor, electric</v>
      </c>
      <c r="E177" s="85" t="str">
        <f t="shared" si="86"/>
        <v>tons/yr</v>
      </c>
      <c r="G177" s="11">
        <f t="shared" si="87"/>
        <v>0</v>
      </c>
      <c r="I177" s="38">
        <f t="shared" ref="I177:AC177" si="95">$L93*I67/2000</f>
        <v>0</v>
      </c>
      <c r="J177" s="38">
        <f t="shared" si="95"/>
        <v>0</v>
      </c>
      <c r="K177" s="38">
        <f t="shared" si="95"/>
        <v>0</v>
      </c>
      <c r="L177" s="38">
        <f t="shared" si="95"/>
        <v>0</v>
      </c>
      <c r="M177" s="38">
        <f t="shared" si="95"/>
        <v>0</v>
      </c>
      <c r="N177" s="38">
        <f t="shared" si="95"/>
        <v>0</v>
      </c>
      <c r="O177" s="38">
        <f t="shared" si="95"/>
        <v>0</v>
      </c>
      <c r="P177" s="38">
        <f t="shared" si="95"/>
        <v>0</v>
      </c>
      <c r="Q177" s="38">
        <f t="shared" si="95"/>
        <v>0</v>
      </c>
      <c r="R177" s="38">
        <f t="shared" si="95"/>
        <v>0</v>
      </c>
      <c r="S177" s="38">
        <f t="shared" si="95"/>
        <v>0</v>
      </c>
      <c r="T177" s="38">
        <f t="shared" si="95"/>
        <v>0</v>
      </c>
      <c r="U177" s="38">
        <f t="shared" si="95"/>
        <v>0</v>
      </c>
      <c r="V177" s="38">
        <f t="shared" si="95"/>
        <v>0</v>
      </c>
      <c r="W177" s="38">
        <f t="shared" si="95"/>
        <v>0</v>
      </c>
      <c r="X177" s="38">
        <f t="shared" si="95"/>
        <v>0</v>
      </c>
      <c r="Y177" s="38">
        <f t="shared" si="95"/>
        <v>0</v>
      </c>
      <c r="Z177" s="38">
        <f t="shared" si="95"/>
        <v>0</v>
      </c>
      <c r="AA177" s="38">
        <f t="shared" si="95"/>
        <v>0</v>
      </c>
      <c r="AB177" s="38">
        <f t="shared" si="95"/>
        <v>0</v>
      </c>
      <c r="AC177" s="38">
        <f t="shared" si="95"/>
        <v>0</v>
      </c>
    </row>
    <row r="178" spans="1:29" s="30" customFormat="1" x14ac:dyDescent="0.3">
      <c r="A178" s="31"/>
      <c r="B178" s="31"/>
      <c r="C178" s="93"/>
      <c r="D178" s="85" t="str">
        <f t="shared" si="85"/>
        <v>Reefer Power Packs, 30 plugs, dual engine, Tier 3, 400 HP CAT</v>
      </c>
      <c r="E178" s="85" t="str">
        <f t="shared" si="86"/>
        <v>tons/yr</v>
      </c>
      <c r="G178" s="11">
        <f t="shared" si="87"/>
        <v>78.986919858881407</v>
      </c>
      <c r="I178" s="98">
        <f>$L94*I68</f>
        <v>3.7612818980419718</v>
      </c>
      <c r="J178" s="98">
        <f t="shared" ref="J178:AC180" si="96">$L94*J68</f>
        <v>3.7612818980419718</v>
      </c>
      <c r="K178" s="98">
        <f t="shared" si="96"/>
        <v>3.7612818980419718</v>
      </c>
      <c r="L178" s="98">
        <f t="shared" si="96"/>
        <v>3.7612818980419718</v>
      </c>
      <c r="M178" s="98">
        <f t="shared" si="96"/>
        <v>3.7612818980419718</v>
      </c>
      <c r="N178" s="98">
        <f t="shared" si="96"/>
        <v>3.7612818980419718</v>
      </c>
      <c r="O178" s="98">
        <f t="shared" si="96"/>
        <v>3.7612818980419718</v>
      </c>
      <c r="P178" s="98">
        <f t="shared" si="96"/>
        <v>3.7612818980419718</v>
      </c>
      <c r="Q178" s="98">
        <f t="shared" si="96"/>
        <v>3.7612818980419718</v>
      </c>
      <c r="R178" s="98">
        <f t="shared" si="96"/>
        <v>3.7612818980419718</v>
      </c>
      <c r="S178" s="98">
        <f t="shared" si="96"/>
        <v>3.7612818980419718</v>
      </c>
      <c r="T178" s="98">
        <f t="shared" si="96"/>
        <v>3.7612818980419718</v>
      </c>
      <c r="U178" s="98">
        <f t="shared" si="96"/>
        <v>3.7612818980419718</v>
      </c>
      <c r="V178" s="98">
        <f t="shared" si="96"/>
        <v>3.7612818980419718</v>
      </c>
      <c r="W178" s="98">
        <f t="shared" si="96"/>
        <v>3.7612818980419718</v>
      </c>
      <c r="X178" s="98">
        <f t="shared" si="96"/>
        <v>3.7612818980419718</v>
      </c>
      <c r="Y178" s="98">
        <f t="shared" si="96"/>
        <v>3.7612818980419718</v>
      </c>
      <c r="Z178" s="98">
        <f t="shared" si="96"/>
        <v>3.7612818980419718</v>
      </c>
      <c r="AA178" s="98">
        <f t="shared" si="96"/>
        <v>3.7612818980419718</v>
      </c>
      <c r="AB178" s="98">
        <f t="shared" si="96"/>
        <v>3.7612818980419718</v>
      </c>
      <c r="AC178" s="98">
        <f t="shared" si="96"/>
        <v>3.7612818980419718</v>
      </c>
    </row>
    <row r="179" spans="1:29" s="30" customFormat="1" x14ac:dyDescent="0.3">
      <c r="A179" s="31"/>
      <c r="B179" s="31"/>
      <c r="C179" s="93"/>
      <c r="D179" s="85" t="str">
        <f t="shared" si="85"/>
        <v>Reefer Power Packs, 30 plugs, single engine, Tier 3 400 HP CAT</v>
      </c>
      <c r="E179" s="85" t="str">
        <f t="shared" si="86"/>
        <v>tons/yr</v>
      </c>
      <c r="G179" s="11">
        <f t="shared" si="87"/>
        <v>64.625661702721132</v>
      </c>
      <c r="I179" s="98">
        <f>$L95*I69</f>
        <v>3.0774124620343404</v>
      </c>
      <c r="J179" s="98">
        <f t="shared" si="96"/>
        <v>3.0774124620343404</v>
      </c>
      <c r="K179" s="98">
        <f t="shared" si="96"/>
        <v>3.0774124620343404</v>
      </c>
      <c r="L179" s="98">
        <f t="shared" si="96"/>
        <v>3.0774124620343404</v>
      </c>
      <c r="M179" s="98">
        <f t="shared" si="96"/>
        <v>3.0774124620343404</v>
      </c>
      <c r="N179" s="98">
        <f t="shared" si="96"/>
        <v>3.0774124620343404</v>
      </c>
      <c r="O179" s="98">
        <f t="shared" si="96"/>
        <v>3.0774124620343404</v>
      </c>
      <c r="P179" s="98">
        <f t="shared" si="96"/>
        <v>3.0774124620343404</v>
      </c>
      <c r="Q179" s="98">
        <f t="shared" si="96"/>
        <v>3.0774124620343404</v>
      </c>
      <c r="R179" s="98">
        <f t="shared" si="96"/>
        <v>3.0774124620343404</v>
      </c>
      <c r="S179" s="98">
        <f t="shared" si="96"/>
        <v>3.0774124620343404</v>
      </c>
      <c r="T179" s="98">
        <f t="shared" si="96"/>
        <v>3.0774124620343404</v>
      </c>
      <c r="U179" s="98">
        <f t="shared" si="96"/>
        <v>3.0774124620343404</v>
      </c>
      <c r="V179" s="98">
        <f t="shared" si="96"/>
        <v>3.0774124620343404</v>
      </c>
      <c r="W179" s="98">
        <f t="shared" si="96"/>
        <v>3.0774124620343404</v>
      </c>
      <c r="X179" s="98">
        <f t="shared" si="96"/>
        <v>3.0774124620343404</v>
      </c>
      <c r="Y179" s="98">
        <f t="shared" si="96"/>
        <v>3.0774124620343404</v>
      </c>
      <c r="Z179" s="98">
        <f t="shared" si="96"/>
        <v>3.0774124620343404</v>
      </c>
      <c r="AA179" s="98">
        <f t="shared" si="96"/>
        <v>3.0774124620343404</v>
      </c>
      <c r="AB179" s="98">
        <f t="shared" si="96"/>
        <v>3.0774124620343404</v>
      </c>
      <c r="AC179" s="98">
        <f t="shared" si="96"/>
        <v>3.0774124620343404</v>
      </c>
    </row>
    <row r="180" spans="1:29" s="30" customFormat="1" x14ac:dyDescent="0.3">
      <c r="A180" s="31"/>
      <c r="B180" s="31"/>
      <c r="C180" s="93"/>
      <c r="D180" s="85" t="str">
        <f t="shared" si="85"/>
        <v>Nose Mount genset 1 plug, single engine, Tier 3, 32-34HP, Kubota / Carrier or Yanmar</v>
      </c>
      <c r="E180" s="85" t="str">
        <f t="shared" si="86"/>
        <v>tons/yr</v>
      </c>
      <c r="G180" s="11">
        <f t="shared" si="87"/>
        <v>792.27506779434748</v>
      </c>
      <c r="I180" s="98">
        <f>$L96*I70</f>
        <v>37.727384180683231</v>
      </c>
      <c r="J180" s="98">
        <f t="shared" si="96"/>
        <v>37.727384180683231</v>
      </c>
      <c r="K180" s="98">
        <f t="shared" si="96"/>
        <v>37.727384180683231</v>
      </c>
      <c r="L180" s="98">
        <f t="shared" si="96"/>
        <v>37.727384180683231</v>
      </c>
      <c r="M180" s="98">
        <f t="shared" si="96"/>
        <v>37.727384180683231</v>
      </c>
      <c r="N180" s="98">
        <f t="shared" si="96"/>
        <v>37.727384180683231</v>
      </c>
      <c r="O180" s="98">
        <f t="shared" si="96"/>
        <v>37.727384180683231</v>
      </c>
      <c r="P180" s="98">
        <f t="shared" si="96"/>
        <v>37.727384180683231</v>
      </c>
      <c r="Q180" s="98">
        <f t="shared" si="96"/>
        <v>37.727384180683231</v>
      </c>
      <c r="R180" s="98">
        <f t="shared" si="96"/>
        <v>37.727384180683231</v>
      </c>
      <c r="S180" s="98">
        <f t="shared" si="96"/>
        <v>37.727384180683231</v>
      </c>
      <c r="T180" s="98">
        <f t="shared" si="96"/>
        <v>37.727384180683231</v>
      </c>
      <c r="U180" s="98">
        <f t="shared" si="96"/>
        <v>37.727384180683231</v>
      </c>
      <c r="V180" s="98">
        <f t="shared" si="96"/>
        <v>37.727384180683231</v>
      </c>
      <c r="W180" s="98">
        <f t="shared" si="96"/>
        <v>37.727384180683231</v>
      </c>
      <c r="X180" s="98">
        <f t="shared" si="96"/>
        <v>37.727384180683231</v>
      </c>
      <c r="Y180" s="98">
        <f t="shared" si="96"/>
        <v>37.727384180683231</v>
      </c>
      <c r="Z180" s="98">
        <f t="shared" si="96"/>
        <v>37.727384180683231</v>
      </c>
      <c r="AA180" s="98">
        <f t="shared" si="96"/>
        <v>37.727384180683231</v>
      </c>
      <c r="AB180" s="98">
        <f t="shared" si="96"/>
        <v>37.727384180683231</v>
      </c>
      <c r="AC180" s="98">
        <f t="shared" si="96"/>
        <v>37.727384180683231</v>
      </c>
    </row>
    <row r="181" spans="1:29" s="30" customFormat="1" x14ac:dyDescent="0.3">
      <c r="A181" s="31"/>
      <c r="B181" s="31"/>
      <c r="C181" s="93"/>
      <c r="D181" s="85" t="str">
        <f t="shared" si="85"/>
        <v>Reefer, electric</v>
      </c>
      <c r="E181" s="85" t="str">
        <f t="shared" si="86"/>
        <v>tons/yr</v>
      </c>
      <c r="G181" s="11">
        <f t="shared" si="87"/>
        <v>0</v>
      </c>
      <c r="I181" s="38">
        <f t="shared" ref="I181:AC181" si="97">$L97*I71/2000</f>
        <v>0</v>
      </c>
      <c r="J181" s="38">
        <f t="shared" si="97"/>
        <v>0</v>
      </c>
      <c r="K181" s="38">
        <f t="shared" si="97"/>
        <v>0</v>
      </c>
      <c r="L181" s="38">
        <f t="shared" si="97"/>
        <v>0</v>
      </c>
      <c r="M181" s="38">
        <f t="shared" si="97"/>
        <v>0</v>
      </c>
      <c r="N181" s="38">
        <f t="shared" si="97"/>
        <v>0</v>
      </c>
      <c r="O181" s="38">
        <f t="shared" si="97"/>
        <v>0</v>
      </c>
      <c r="P181" s="38">
        <f t="shared" si="97"/>
        <v>0</v>
      </c>
      <c r="Q181" s="38">
        <f t="shared" si="97"/>
        <v>0</v>
      </c>
      <c r="R181" s="38">
        <f t="shared" si="97"/>
        <v>0</v>
      </c>
      <c r="S181" s="38">
        <f t="shared" si="97"/>
        <v>0</v>
      </c>
      <c r="T181" s="38">
        <f t="shared" si="97"/>
        <v>0</v>
      </c>
      <c r="U181" s="38">
        <f t="shared" si="97"/>
        <v>0</v>
      </c>
      <c r="V181" s="38">
        <f t="shared" si="97"/>
        <v>0</v>
      </c>
      <c r="W181" s="38">
        <f t="shared" si="97"/>
        <v>0</v>
      </c>
      <c r="X181" s="38">
        <f t="shared" si="97"/>
        <v>0</v>
      </c>
      <c r="Y181" s="38">
        <f t="shared" si="97"/>
        <v>0</v>
      </c>
      <c r="Z181" s="38">
        <f t="shared" si="97"/>
        <v>0</v>
      </c>
      <c r="AA181" s="38">
        <f t="shared" si="97"/>
        <v>0</v>
      </c>
      <c r="AB181" s="38">
        <f t="shared" si="97"/>
        <v>0</v>
      </c>
      <c r="AC181" s="38">
        <f t="shared" si="97"/>
        <v>0</v>
      </c>
    </row>
    <row r="182" spans="1:29" s="30" customFormat="1" x14ac:dyDescent="0.3">
      <c r="A182" s="31"/>
      <c r="B182" s="31"/>
      <c r="C182" s="93"/>
      <c r="D182" s="31" t="str">
        <f t="shared" si="85"/>
        <v>TOTAL</v>
      </c>
      <c r="E182" s="85" t="str">
        <f t="shared" si="86"/>
        <v>tons/yr</v>
      </c>
      <c r="G182" s="72">
        <f t="shared" si="87"/>
        <v>1511.4715433618819</v>
      </c>
      <c r="I182" s="75">
        <f t="shared" ref="I182:AC182" si="98">SUM(I168:I181)</f>
        <v>104.13752140911087</v>
      </c>
      <c r="J182" s="75">
        <f t="shared" si="98"/>
        <v>104.13752140911087</v>
      </c>
      <c r="K182" s="75">
        <f t="shared" si="98"/>
        <v>104.13752140911087</v>
      </c>
      <c r="L182" s="75">
        <f t="shared" si="98"/>
        <v>98.944544512415263</v>
      </c>
      <c r="M182" s="75">
        <f t="shared" si="98"/>
        <v>93.751559561200452</v>
      </c>
      <c r="N182" s="75">
        <f t="shared" si="98"/>
        <v>88.570988748129281</v>
      </c>
      <c r="O182" s="75">
        <f t="shared" si="98"/>
        <v>83.52910219176789</v>
      </c>
      <c r="P182" s="75">
        <f t="shared" si="98"/>
        <v>78.237928075021387</v>
      </c>
      <c r="Q182" s="75">
        <f t="shared" si="98"/>
        <v>73.100192295390599</v>
      </c>
      <c r="R182" s="75">
        <f t="shared" si="98"/>
        <v>67.962456515759811</v>
      </c>
      <c r="S182" s="75">
        <f t="shared" si="98"/>
        <v>62.824720736129002</v>
      </c>
      <c r="T182" s="75">
        <f t="shared" si="98"/>
        <v>58.323261085671447</v>
      </c>
      <c r="U182" s="75">
        <f t="shared" si="98"/>
        <v>54.868247268118338</v>
      </c>
      <c r="V182" s="75">
        <f t="shared" si="98"/>
        <v>54.868247268118338</v>
      </c>
      <c r="W182" s="75">
        <f t="shared" si="98"/>
        <v>54.868247268118338</v>
      </c>
      <c r="X182" s="75">
        <f t="shared" si="98"/>
        <v>54.868247268118338</v>
      </c>
      <c r="Y182" s="75">
        <f t="shared" si="98"/>
        <v>54.868247268118338</v>
      </c>
      <c r="Z182" s="75">
        <f t="shared" si="98"/>
        <v>54.868247268118338</v>
      </c>
      <c r="AA182" s="75">
        <f t="shared" si="98"/>
        <v>54.868247268118338</v>
      </c>
      <c r="AB182" s="75">
        <f t="shared" si="98"/>
        <v>54.868247268118338</v>
      </c>
      <c r="AC182" s="75">
        <f t="shared" si="98"/>
        <v>54.868247268118338</v>
      </c>
    </row>
    <row r="183" spans="1:29" s="30" customFormat="1" x14ac:dyDescent="0.3">
      <c r="A183" s="31"/>
      <c r="B183" s="31"/>
      <c r="C183" s="31"/>
      <c r="D183" s="85"/>
      <c r="G183" s="7"/>
    </row>
    <row r="184" spans="1:29" s="85" customFormat="1" x14ac:dyDescent="0.3">
      <c r="A184" s="31"/>
      <c r="B184" s="31"/>
      <c r="C184" s="93" t="s">
        <v>377</v>
      </c>
      <c r="D184" s="31" t="s">
        <v>362</v>
      </c>
      <c r="G184" s="87"/>
    </row>
    <row r="185" spans="1:29" s="85" customFormat="1" x14ac:dyDescent="0.3">
      <c r="A185" s="31"/>
      <c r="B185" s="31"/>
      <c r="C185" s="93"/>
      <c r="D185" s="85" t="str">
        <f t="shared" ref="D185:E199" si="99">D168</f>
        <v>Top Pick</v>
      </c>
      <c r="E185" s="85" t="str">
        <f t="shared" si="99"/>
        <v>tons/yr</v>
      </c>
      <c r="G185" s="11">
        <f t="shared" ref="G185:G199" si="100">SUM(I185:AC185)</f>
        <v>7.9466996467946531</v>
      </c>
      <c r="I185" s="98">
        <f>I$343*I$58</f>
        <v>0.92990103728515572</v>
      </c>
      <c r="J185" s="98">
        <f t="shared" ref="J185:AC185" si="101">J$343*J$58</f>
        <v>0.92990103728515572</v>
      </c>
      <c r="K185" s="98">
        <f t="shared" si="101"/>
        <v>0.92990103728515572</v>
      </c>
      <c r="L185" s="98">
        <f t="shared" si="101"/>
        <v>0.84147983441300211</v>
      </c>
      <c r="M185" s="98">
        <f t="shared" si="101"/>
        <v>0.75304603327898967</v>
      </c>
      <c r="N185" s="98">
        <f t="shared" si="101"/>
        <v>0.66695675060048398</v>
      </c>
      <c r="O185" s="98">
        <f t="shared" si="101"/>
        <v>0.58323123437470326</v>
      </c>
      <c r="P185" s="98">
        <f t="shared" si="101"/>
        <v>0.49658959161853888</v>
      </c>
      <c r="Q185" s="98">
        <f t="shared" si="101"/>
        <v>0.40710595269517297</v>
      </c>
      <c r="R185" s="98">
        <f t="shared" si="101"/>
        <v>0.31762231377180727</v>
      </c>
      <c r="S185" s="98">
        <f t="shared" si="101"/>
        <v>0.22627936373747654</v>
      </c>
      <c r="T185" s="98">
        <f t="shared" si="101"/>
        <v>0.14803501517591297</v>
      </c>
      <c r="U185" s="98">
        <f t="shared" si="101"/>
        <v>7.9627827252566161E-2</v>
      </c>
      <c r="V185" s="98">
        <f t="shared" si="101"/>
        <v>7.9627827252566161E-2</v>
      </c>
      <c r="W185" s="98">
        <f t="shared" si="101"/>
        <v>7.9627827252566161E-2</v>
      </c>
      <c r="X185" s="98">
        <f t="shared" si="101"/>
        <v>7.9627827252566161E-2</v>
      </c>
      <c r="Y185" s="98">
        <f t="shared" si="101"/>
        <v>7.9627827252566161E-2</v>
      </c>
      <c r="Z185" s="98">
        <f t="shared" si="101"/>
        <v>7.9627827252566161E-2</v>
      </c>
      <c r="AA185" s="98">
        <f t="shared" si="101"/>
        <v>7.9627827252566161E-2</v>
      </c>
      <c r="AB185" s="98">
        <f t="shared" si="101"/>
        <v>7.9627827252566161E-2</v>
      </c>
      <c r="AC185" s="98">
        <f t="shared" si="101"/>
        <v>7.9627827252566161E-2</v>
      </c>
    </row>
    <row r="186" spans="1:29" s="85" customFormat="1" x14ac:dyDescent="0.3">
      <c r="A186" s="31"/>
      <c r="B186" s="31"/>
      <c r="C186" s="93"/>
      <c r="D186" s="85" t="str">
        <f t="shared" si="99"/>
        <v>RTGs, Hybrid</v>
      </c>
      <c r="E186" s="85" t="str">
        <f t="shared" si="99"/>
        <v>tons/yr</v>
      </c>
      <c r="G186" s="11">
        <f t="shared" si="100"/>
        <v>0</v>
      </c>
      <c r="I186" s="98">
        <f>$M85*I59</f>
        <v>0</v>
      </c>
      <c r="J186" s="98">
        <f t="shared" ref="J186:AC186" si="102">$M85*J59</f>
        <v>0</v>
      </c>
      <c r="K186" s="98">
        <f t="shared" si="102"/>
        <v>0</v>
      </c>
      <c r="L186" s="98">
        <f t="shared" si="102"/>
        <v>0</v>
      </c>
      <c r="M186" s="98">
        <f t="shared" si="102"/>
        <v>0</v>
      </c>
      <c r="N186" s="98">
        <f t="shared" si="102"/>
        <v>0</v>
      </c>
      <c r="O186" s="98">
        <f t="shared" si="102"/>
        <v>0</v>
      </c>
      <c r="P186" s="98">
        <f t="shared" si="102"/>
        <v>0</v>
      </c>
      <c r="Q186" s="98">
        <f t="shared" si="102"/>
        <v>0</v>
      </c>
      <c r="R186" s="98">
        <f t="shared" si="102"/>
        <v>0</v>
      </c>
      <c r="S186" s="98">
        <f t="shared" si="102"/>
        <v>0</v>
      </c>
      <c r="T186" s="98">
        <f t="shared" si="102"/>
        <v>0</v>
      </c>
      <c r="U186" s="98">
        <f t="shared" si="102"/>
        <v>0</v>
      </c>
      <c r="V186" s="98">
        <f t="shared" si="102"/>
        <v>0</v>
      </c>
      <c r="W186" s="98">
        <f t="shared" si="102"/>
        <v>0</v>
      </c>
      <c r="X186" s="98">
        <f t="shared" si="102"/>
        <v>0</v>
      </c>
      <c r="Y186" s="98">
        <f t="shared" si="102"/>
        <v>0</v>
      </c>
      <c r="Z186" s="98">
        <f t="shared" si="102"/>
        <v>0</v>
      </c>
      <c r="AA186" s="98">
        <f t="shared" si="102"/>
        <v>0</v>
      </c>
      <c r="AB186" s="98">
        <f t="shared" si="102"/>
        <v>0</v>
      </c>
      <c r="AC186" s="98">
        <f t="shared" si="102"/>
        <v>0</v>
      </c>
    </row>
    <row r="187" spans="1:29" s="85" customFormat="1" x14ac:dyDescent="0.3">
      <c r="A187" s="31"/>
      <c r="B187" s="31"/>
      <c r="C187" s="93"/>
      <c r="D187" s="85" t="str">
        <f t="shared" si="99"/>
        <v>Forklift, 10000 lb, Diesel</v>
      </c>
      <c r="E187" s="85" t="str">
        <f t="shared" si="99"/>
        <v>tons/yr</v>
      </c>
      <c r="G187" s="11">
        <f t="shared" si="100"/>
        <v>0.29348398104337303</v>
      </c>
      <c r="I187" s="98">
        <f>$M86*I60</f>
        <v>1.3975427668732044E-2</v>
      </c>
      <c r="J187" s="98">
        <f t="shared" ref="J187:AC187" si="103">$M86*J60</f>
        <v>1.3975427668732044E-2</v>
      </c>
      <c r="K187" s="98">
        <f t="shared" si="103"/>
        <v>1.3975427668732044E-2</v>
      </c>
      <c r="L187" s="98">
        <f t="shared" si="103"/>
        <v>1.3975427668732044E-2</v>
      </c>
      <c r="M187" s="98">
        <f t="shared" si="103"/>
        <v>1.3975427668732044E-2</v>
      </c>
      <c r="N187" s="98">
        <f t="shared" si="103"/>
        <v>1.3975427668732044E-2</v>
      </c>
      <c r="O187" s="98">
        <f t="shared" si="103"/>
        <v>1.3975427668732044E-2</v>
      </c>
      <c r="P187" s="98">
        <f t="shared" si="103"/>
        <v>1.3975427668732044E-2</v>
      </c>
      <c r="Q187" s="98">
        <f t="shared" si="103"/>
        <v>1.3975427668732044E-2</v>
      </c>
      <c r="R187" s="98">
        <f t="shared" si="103"/>
        <v>1.3975427668732044E-2</v>
      </c>
      <c r="S187" s="98">
        <f t="shared" si="103"/>
        <v>1.3975427668732044E-2</v>
      </c>
      <c r="T187" s="98">
        <f t="shared" si="103"/>
        <v>1.3975427668732044E-2</v>
      </c>
      <c r="U187" s="98">
        <f t="shared" si="103"/>
        <v>1.3975427668732044E-2</v>
      </c>
      <c r="V187" s="98">
        <f t="shared" si="103"/>
        <v>1.3975427668732044E-2</v>
      </c>
      <c r="W187" s="98">
        <f t="shared" si="103"/>
        <v>1.3975427668732044E-2</v>
      </c>
      <c r="X187" s="98">
        <f t="shared" si="103"/>
        <v>1.3975427668732044E-2</v>
      </c>
      <c r="Y187" s="98">
        <f t="shared" si="103"/>
        <v>1.3975427668732044E-2</v>
      </c>
      <c r="Z187" s="98">
        <f t="shared" si="103"/>
        <v>1.3975427668732044E-2</v>
      </c>
      <c r="AA187" s="98">
        <f t="shared" si="103"/>
        <v>1.3975427668732044E-2</v>
      </c>
      <c r="AB187" s="98">
        <f t="shared" si="103"/>
        <v>1.3975427668732044E-2</v>
      </c>
      <c r="AC187" s="98">
        <f t="shared" si="103"/>
        <v>1.3975427668732044E-2</v>
      </c>
    </row>
    <row r="188" spans="1:29" s="85" customFormat="1" x14ac:dyDescent="0.3">
      <c r="A188" s="31"/>
      <c r="B188" s="31"/>
      <c r="C188" s="93"/>
      <c r="D188" s="85" t="str">
        <f t="shared" si="99"/>
        <v>Forklift, 10000 lb, electric</v>
      </c>
      <c r="E188" s="85" t="str">
        <f t="shared" si="99"/>
        <v>tons/yr</v>
      </c>
      <c r="G188" s="11">
        <f t="shared" si="100"/>
        <v>0</v>
      </c>
      <c r="I188" s="38">
        <f t="shared" ref="I188:AC188" si="104">$M87*I61/2000</f>
        <v>0</v>
      </c>
      <c r="J188" s="38">
        <f t="shared" ref="J188:AC188" si="105">$M87*J61/2000</f>
        <v>0</v>
      </c>
      <c r="K188" s="38">
        <f t="shared" si="105"/>
        <v>0</v>
      </c>
      <c r="L188" s="38">
        <f t="shared" si="105"/>
        <v>0</v>
      </c>
      <c r="M188" s="38">
        <f t="shared" si="105"/>
        <v>0</v>
      </c>
      <c r="N188" s="38">
        <f t="shared" si="105"/>
        <v>0</v>
      </c>
      <c r="O188" s="38">
        <f t="shared" si="105"/>
        <v>0</v>
      </c>
      <c r="P188" s="38">
        <f t="shared" si="105"/>
        <v>0</v>
      </c>
      <c r="Q188" s="38">
        <f t="shared" si="105"/>
        <v>0</v>
      </c>
      <c r="R188" s="38">
        <f t="shared" si="105"/>
        <v>0</v>
      </c>
      <c r="S188" s="38">
        <f t="shared" si="105"/>
        <v>0</v>
      </c>
      <c r="T188" s="38">
        <f t="shared" si="105"/>
        <v>0</v>
      </c>
      <c r="U188" s="38">
        <f t="shared" si="105"/>
        <v>0</v>
      </c>
      <c r="V188" s="38">
        <f t="shared" si="105"/>
        <v>0</v>
      </c>
      <c r="W188" s="38">
        <f t="shared" si="105"/>
        <v>0</v>
      </c>
      <c r="X188" s="38">
        <f t="shared" si="105"/>
        <v>0</v>
      </c>
      <c r="Y188" s="38">
        <f t="shared" si="105"/>
        <v>0</v>
      </c>
      <c r="Z188" s="38">
        <f t="shared" si="105"/>
        <v>0</v>
      </c>
      <c r="AA188" s="38">
        <f t="shared" si="105"/>
        <v>0</v>
      </c>
      <c r="AB188" s="38">
        <f t="shared" si="105"/>
        <v>0</v>
      </c>
      <c r="AC188" s="38">
        <f t="shared" si="105"/>
        <v>0</v>
      </c>
    </row>
    <row r="189" spans="1:29" s="85" customFormat="1" x14ac:dyDescent="0.3">
      <c r="A189" s="31"/>
      <c r="B189" s="31"/>
      <c r="C189" s="93"/>
      <c r="D189" s="85" t="str">
        <f t="shared" si="99"/>
        <v>Forklift, 18000 lb, Diesel</v>
      </c>
      <c r="E189" s="85" t="str">
        <f t="shared" si="99"/>
        <v>tons/yr</v>
      </c>
      <c r="G189" s="11">
        <f t="shared" si="100"/>
        <v>0.48913996840562163</v>
      </c>
      <c r="I189" s="98">
        <f>$M88*I62</f>
        <v>2.3292379447886733E-2</v>
      </c>
      <c r="J189" s="98">
        <f t="shared" ref="J189:AC189" si="106">$M88*J62</f>
        <v>2.3292379447886733E-2</v>
      </c>
      <c r="K189" s="98">
        <f t="shared" si="106"/>
        <v>2.3292379447886733E-2</v>
      </c>
      <c r="L189" s="98">
        <f t="shared" si="106"/>
        <v>2.3292379447886733E-2</v>
      </c>
      <c r="M189" s="98">
        <f t="shared" si="106"/>
        <v>2.3292379447886733E-2</v>
      </c>
      <c r="N189" s="98">
        <f t="shared" si="106"/>
        <v>2.3292379447886733E-2</v>
      </c>
      <c r="O189" s="98">
        <f t="shared" si="106"/>
        <v>2.3292379447886733E-2</v>
      </c>
      <c r="P189" s="98">
        <f t="shared" si="106"/>
        <v>2.3292379447886733E-2</v>
      </c>
      <c r="Q189" s="98">
        <f t="shared" si="106"/>
        <v>2.3292379447886733E-2</v>
      </c>
      <c r="R189" s="98">
        <f t="shared" si="106"/>
        <v>2.3292379447886733E-2</v>
      </c>
      <c r="S189" s="98">
        <f t="shared" si="106"/>
        <v>2.3292379447886733E-2</v>
      </c>
      <c r="T189" s="98">
        <f t="shared" si="106"/>
        <v>2.3292379447886733E-2</v>
      </c>
      <c r="U189" s="98">
        <f t="shared" si="106"/>
        <v>2.3292379447886733E-2</v>
      </c>
      <c r="V189" s="98">
        <f t="shared" si="106"/>
        <v>2.3292379447886733E-2</v>
      </c>
      <c r="W189" s="98">
        <f t="shared" si="106"/>
        <v>2.3292379447886733E-2</v>
      </c>
      <c r="X189" s="98">
        <f t="shared" si="106"/>
        <v>2.3292379447886733E-2</v>
      </c>
      <c r="Y189" s="98">
        <f t="shared" si="106"/>
        <v>2.3292379447886733E-2</v>
      </c>
      <c r="Z189" s="98">
        <f t="shared" si="106"/>
        <v>2.3292379447886733E-2</v>
      </c>
      <c r="AA189" s="98">
        <f t="shared" si="106"/>
        <v>2.3292379447886733E-2</v>
      </c>
      <c r="AB189" s="98">
        <f t="shared" si="106"/>
        <v>2.3292379447886733E-2</v>
      </c>
      <c r="AC189" s="98">
        <f t="shared" si="106"/>
        <v>2.3292379447886733E-2</v>
      </c>
    </row>
    <row r="190" spans="1:29" s="85" customFormat="1" x14ac:dyDescent="0.3">
      <c r="A190" s="31"/>
      <c r="B190" s="31"/>
      <c r="C190" s="93"/>
      <c r="D190" s="85" t="str">
        <f t="shared" si="99"/>
        <v>Forklift, 18000 lb, electric</v>
      </c>
      <c r="E190" s="85" t="str">
        <f t="shared" si="99"/>
        <v>tons/yr</v>
      </c>
      <c r="G190" s="11">
        <f t="shared" si="100"/>
        <v>0</v>
      </c>
      <c r="I190" s="38">
        <f t="shared" ref="I190:AC190" si="107">$M89*I63/2000</f>
        <v>0</v>
      </c>
      <c r="J190" s="38">
        <f t="shared" ref="J190:AC190" si="108">$M89*J63/2000</f>
        <v>0</v>
      </c>
      <c r="K190" s="38">
        <f t="shared" si="108"/>
        <v>0</v>
      </c>
      <c r="L190" s="38">
        <f t="shared" si="108"/>
        <v>0</v>
      </c>
      <c r="M190" s="38">
        <f t="shared" si="108"/>
        <v>0</v>
      </c>
      <c r="N190" s="38">
        <f t="shared" si="108"/>
        <v>0</v>
      </c>
      <c r="O190" s="38">
        <f t="shared" si="108"/>
        <v>0</v>
      </c>
      <c r="P190" s="38">
        <f t="shared" si="108"/>
        <v>0</v>
      </c>
      <c r="Q190" s="38">
        <f t="shared" si="108"/>
        <v>0</v>
      </c>
      <c r="R190" s="38">
        <f t="shared" si="108"/>
        <v>0</v>
      </c>
      <c r="S190" s="38">
        <f t="shared" si="108"/>
        <v>0</v>
      </c>
      <c r="T190" s="38">
        <f t="shared" si="108"/>
        <v>0</v>
      </c>
      <c r="U190" s="38">
        <f t="shared" si="108"/>
        <v>0</v>
      </c>
      <c r="V190" s="38">
        <f t="shared" si="108"/>
        <v>0</v>
      </c>
      <c r="W190" s="38">
        <f t="shared" si="108"/>
        <v>0</v>
      </c>
      <c r="X190" s="38">
        <f t="shared" si="108"/>
        <v>0</v>
      </c>
      <c r="Y190" s="38">
        <f t="shared" si="108"/>
        <v>0</v>
      </c>
      <c r="Z190" s="38">
        <f t="shared" si="108"/>
        <v>0</v>
      </c>
      <c r="AA190" s="38">
        <f t="shared" si="108"/>
        <v>0</v>
      </c>
      <c r="AB190" s="38">
        <f t="shared" si="108"/>
        <v>0</v>
      </c>
      <c r="AC190" s="38">
        <f t="shared" si="108"/>
        <v>0</v>
      </c>
    </row>
    <row r="191" spans="1:29" s="85" customFormat="1" x14ac:dyDescent="0.3">
      <c r="A191" s="31"/>
      <c r="B191" s="31"/>
      <c r="C191" s="93"/>
      <c r="D191" s="85" t="str">
        <f t="shared" si="99"/>
        <v>Forklift, 36000 lb, diesel</v>
      </c>
      <c r="E191" s="85" t="str">
        <f t="shared" si="99"/>
        <v>tons/yr</v>
      </c>
      <c r="G191" s="11">
        <f t="shared" si="100"/>
        <v>4.3427624326470253</v>
      </c>
      <c r="I191" s="98">
        <f>$M90*I64</f>
        <v>0.20679821107842969</v>
      </c>
      <c r="J191" s="98">
        <f t="shared" ref="J191:AC191" si="109">$M90*J64</f>
        <v>0.20679821107842969</v>
      </c>
      <c r="K191" s="98">
        <f t="shared" si="109"/>
        <v>0.20679821107842969</v>
      </c>
      <c r="L191" s="98">
        <f t="shared" si="109"/>
        <v>0.20679821107842969</v>
      </c>
      <c r="M191" s="98">
        <f t="shared" si="109"/>
        <v>0.20679821107842969</v>
      </c>
      <c r="N191" s="98">
        <f t="shared" si="109"/>
        <v>0.20679821107842969</v>
      </c>
      <c r="O191" s="98">
        <f t="shared" si="109"/>
        <v>0.20679821107842969</v>
      </c>
      <c r="P191" s="98">
        <f t="shared" si="109"/>
        <v>0.20679821107842969</v>
      </c>
      <c r="Q191" s="98">
        <f t="shared" si="109"/>
        <v>0.20679821107842969</v>
      </c>
      <c r="R191" s="98">
        <f t="shared" si="109"/>
        <v>0.20679821107842969</v>
      </c>
      <c r="S191" s="98">
        <f t="shared" si="109"/>
        <v>0.20679821107842969</v>
      </c>
      <c r="T191" s="98">
        <f t="shared" si="109"/>
        <v>0.20679821107842969</v>
      </c>
      <c r="U191" s="98">
        <f t="shared" si="109"/>
        <v>0.20679821107842969</v>
      </c>
      <c r="V191" s="98">
        <f t="shared" si="109"/>
        <v>0.20679821107842969</v>
      </c>
      <c r="W191" s="98">
        <f t="shared" si="109"/>
        <v>0.20679821107842969</v>
      </c>
      <c r="X191" s="98">
        <f t="shared" si="109"/>
        <v>0.20679821107842969</v>
      </c>
      <c r="Y191" s="98">
        <f t="shared" si="109"/>
        <v>0.20679821107842969</v>
      </c>
      <c r="Z191" s="98">
        <f t="shared" si="109"/>
        <v>0.20679821107842969</v>
      </c>
      <c r="AA191" s="98">
        <f t="shared" si="109"/>
        <v>0.20679821107842969</v>
      </c>
      <c r="AB191" s="98">
        <f t="shared" si="109"/>
        <v>0.20679821107842969</v>
      </c>
      <c r="AC191" s="98">
        <f t="shared" si="109"/>
        <v>0.20679821107842969</v>
      </c>
    </row>
    <row r="192" spans="1:29" s="85" customFormat="1" x14ac:dyDescent="0.3">
      <c r="A192" s="31"/>
      <c r="B192" s="31"/>
      <c r="C192" s="93"/>
      <c r="D192" s="85" t="str">
        <f t="shared" si="99"/>
        <v>Forklift, 36000 lb, electric</v>
      </c>
      <c r="E192" s="85" t="str">
        <f t="shared" si="99"/>
        <v>tons/yr</v>
      </c>
      <c r="G192" s="11">
        <f t="shared" si="100"/>
        <v>0</v>
      </c>
      <c r="I192" s="38">
        <f t="shared" ref="I192:AC192" si="110">$M91*I65/2000</f>
        <v>0</v>
      </c>
      <c r="J192" s="38">
        <f t="shared" ref="J192:AC192" si="111">$M91*J65/2000</f>
        <v>0</v>
      </c>
      <c r="K192" s="38">
        <f t="shared" si="111"/>
        <v>0</v>
      </c>
      <c r="L192" s="38">
        <f t="shared" si="111"/>
        <v>0</v>
      </c>
      <c r="M192" s="38">
        <f t="shared" si="111"/>
        <v>0</v>
      </c>
      <c r="N192" s="38">
        <f t="shared" si="111"/>
        <v>0</v>
      </c>
      <c r="O192" s="38">
        <f t="shared" si="111"/>
        <v>0</v>
      </c>
      <c r="P192" s="38">
        <f t="shared" si="111"/>
        <v>0</v>
      </c>
      <c r="Q192" s="38">
        <f t="shared" si="111"/>
        <v>0</v>
      </c>
      <c r="R192" s="38">
        <f t="shared" si="111"/>
        <v>0</v>
      </c>
      <c r="S192" s="38">
        <f t="shared" si="111"/>
        <v>0</v>
      </c>
      <c r="T192" s="38">
        <f t="shared" si="111"/>
        <v>0</v>
      </c>
      <c r="U192" s="38">
        <f t="shared" si="111"/>
        <v>0</v>
      </c>
      <c r="V192" s="38">
        <f t="shared" si="111"/>
        <v>0</v>
      </c>
      <c r="W192" s="38">
        <f t="shared" si="111"/>
        <v>0</v>
      </c>
      <c r="X192" s="38">
        <f t="shared" si="111"/>
        <v>0</v>
      </c>
      <c r="Y192" s="38">
        <f t="shared" si="111"/>
        <v>0</v>
      </c>
      <c r="Z192" s="38">
        <f t="shared" si="111"/>
        <v>0</v>
      </c>
      <c r="AA192" s="38">
        <f t="shared" si="111"/>
        <v>0</v>
      </c>
      <c r="AB192" s="38">
        <f t="shared" si="111"/>
        <v>0</v>
      </c>
      <c r="AC192" s="38">
        <f t="shared" si="111"/>
        <v>0</v>
      </c>
    </row>
    <row r="193" spans="1:29" s="85" customFormat="1" x14ac:dyDescent="0.3">
      <c r="A193" s="31"/>
      <c r="B193" s="31"/>
      <c r="C193" s="93"/>
      <c r="D193" s="85" t="str">
        <f t="shared" si="99"/>
        <v>Yard Tractor, Diesel</v>
      </c>
      <c r="E193" s="85" t="str">
        <f t="shared" si="99"/>
        <v>tons/yr</v>
      </c>
      <c r="G193" s="11">
        <f t="shared" si="100"/>
        <v>0.25478825242895969</v>
      </c>
      <c r="I193" s="98">
        <f>$M92*I66</f>
        <v>1.2132773925188562E-2</v>
      </c>
      <c r="J193" s="98">
        <f t="shared" ref="J193:AC193" si="112">$M92*J66</f>
        <v>1.2132773925188562E-2</v>
      </c>
      <c r="K193" s="98">
        <f t="shared" si="112"/>
        <v>1.2132773925188562E-2</v>
      </c>
      <c r="L193" s="98">
        <f t="shared" si="112"/>
        <v>1.2132773925188562E-2</v>
      </c>
      <c r="M193" s="98">
        <f t="shared" si="112"/>
        <v>1.2132773925188562E-2</v>
      </c>
      <c r="N193" s="98">
        <f t="shared" si="112"/>
        <v>1.2132773925188562E-2</v>
      </c>
      <c r="O193" s="98">
        <f t="shared" si="112"/>
        <v>1.2132773925188562E-2</v>
      </c>
      <c r="P193" s="98">
        <f t="shared" si="112"/>
        <v>1.2132773925188562E-2</v>
      </c>
      <c r="Q193" s="98">
        <f t="shared" si="112"/>
        <v>1.2132773925188562E-2</v>
      </c>
      <c r="R193" s="98">
        <f t="shared" si="112"/>
        <v>1.2132773925188562E-2</v>
      </c>
      <c r="S193" s="98">
        <f t="shared" si="112"/>
        <v>1.2132773925188562E-2</v>
      </c>
      <c r="T193" s="98">
        <f t="shared" si="112"/>
        <v>1.2132773925188562E-2</v>
      </c>
      <c r="U193" s="98">
        <f t="shared" si="112"/>
        <v>1.2132773925188562E-2</v>
      </c>
      <c r="V193" s="98">
        <f t="shared" si="112"/>
        <v>1.2132773925188562E-2</v>
      </c>
      <c r="W193" s="98">
        <f t="shared" si="112"/>
        <v>1.2132773925188562E-2</v>
      </c>
      <c r="X193" s="98">
        <f t="shared" si="112"/>
        <v>1.2132773925188562E-2</v>
      </c>
      <c r="Y193" s="98">
        <f t="shared" si="112"/>
        <v>1.2132773925188562E-2</v>
      </c>
      <c r="Z193" s="98">
        <f t="shared" si="112"/>
        <v>1.2132773925188562E-2</v>
      </c>
      <c r="AA193" s="98">
        <f t="shared" si="112"/>
        <v>1.2132773925188562E-2</v>
      </c>
      <c r="AB193" s="98">
        <f t="shared" si="112"/>
        <v>1.2132773925188562E-2</v>
      </c>
      <c r="AC193" s="98">
        <f t="shared" si="112"/>
        <v>1.2132773925188562E-2</v>
      </c>
    </row>
    <row r="194" spans="1:29" s="85" customFormat="1" x14ac:dyDescent="0.3">
      <c r="A194" s="31"/>
      <c r="B194" s="31"/>
      <c r="C194" s="93"/>
      <c r="D194" s="85" t="str">
        <f t="shared" si="99"/>
        <v>Yard Tractor, electric</v>
      </c>
      <c r="E194" s="85" t="str">
        <f t="shared" si="99"/>
        <v>tons/yr</v>
      </c>
      <c r="G194" s="11">
        <f t="shared" si="100"/>
        <v>0</v>
      </c>
      <c r="I194" s="38">
        <f t="shared" ref="I194:AC194" si="113">$M93*I67/2000</f>
        <v>0</v>
      </c>
      <c r="J194" s="38">
        <f t="shared" ref="J194:AC194" si="114">$M93*J67/2000</f>
        <v>0</v>
      </c>
      <c r="K194" s="38">
        <f t="shared" si="114"/>
        <v>0</v>
      </c>
      <c r="L194" s="38">
        <f t="shared" si="114"/>
        <v>0</v>
      </c>
      <c r="M194" s="38">
        <f t="shared" si="114"/>
        <v>0</v>
      </c>
      <c r="N194" s="38">
        <f t="shared" si="114"/>
        <v>0</v>
      </c>
      <c r="O194" s="38">
        <f t="shared" si="114"/>
        <v>0</v>
      </c>
      <c r="P194" s="38">
        <f t="shared" si="114"/>
        <v>0</v>
      </c>
      <c r="Q194" s="38">
        <f t="shared" si="114"/>
        <v>0</v>
      </c>
      <c r="R194" s="38">
        <f t="shared" si="114"/>
        <v>0</v>
      </c>
      <c r="S194" s="38">
        <f t="shared" si="114"/>
        <v>0</v>
      </c>
      <c r="T194" s="38">
        <f t="shared" si="114"/>
        <v>0</v>
      </c>
      <c r="U194" s="38">
        <f t="shared" si="114"/>
        <v>0</v>
      </c>
      <c r="V194" s="38">
        <f t="shared" si="114"/>
        <v>0</v>
      </c>
      <c r="W194" s="38">
        <f t="shared" si="114"/>
        <v>0</v>
      </c>
      <c r="X194" s="38">
        <f t="shared" si="114"/>
        <v>0</v>
      </c>
      <c r="Y194" s="38">
        <f t="shared" si="114"/>
        <v>0</v>
      </c>
      <c r="Z194" s="38">
        <f t="shared" si="114"/>
        <v>0</v>
      </c>
      <c r="AA194" s="38">
        <f t="shared" si="114"/>
        <v>0</v>
      </c>
      <c r="AB194" s="38">
        <f t="shared" si="114"/>
        <v>0</v>
      </c>
      <c r="AC194" s="38">
        <f t="shared" si="114"/>
        <v>0</v>
      </c>
    </row>
    <row r="195" spans="1:29" s="85" customFormat="1" x14ac:dyDescent="0.3">
      <c r="A195" s="31"/>
      <c r="B195" s="31"/>
      <c r="C195" s="93"/>
      <c r="D195" s="85" t="str">
        <f t="shared" si="99"/>
        <v>Reefer Power Packs, 30 plugs, dual engine, Tier 3, 400 HP CAT</v>
      </c>
      <c r="E195" s="85" t="str">
        <f t="shared" si="99"/>
        <v>tons/yr</v>
      </c>
      <c r="G195" s="11">
        <f t="shared" si="100"/>
        <v>3.830419265257159E-3</v>
      </c>
      <c r="I195" s="98">
        <f>$M94*I68</f>
        <v>1.824009173931981E-4</v>
      </c>
      <c r="J195" s="98">
        <f t="shared" ref="J195:AC195" si="115">$M94*J68</f>
        <v>1.824009173931981E-4</v>
      </c>
      <c r="K195" s="98">
        <f t="shared" si="115"/>
        <v>1.824009173931981E-4</v>
      </c>
      <c r="L195" s="98">
        <f t="shared" si="115"/>
        <v>1.824009173931981E-4</v>
      </c>
      <c r="M195" s="98">
        <f t="shared" si="115"/>
        <v>1.824009173931981E-4</v>
      </c>
      <c r="N195" s="98">
        <f t="shared" si="115"/>
        <v>1.824009173931981E-4</v>
      </c>
      <c r="O195" s="98">
        <f t="shared" si="115"/>
        <v>1.824009173931981E-4</v>
      </c>
      <c r="P195" s="98">
        <f t="shared" si="115"/>
        <v>1.824009173931981E-4</v>
      </c>
      <c r="Q195" s="98">
        <f t="shared" si="115"/>
        <v>1.824009173931981E-4</v>
      </c>
      <c r="R195" s="98">
        <f t="shared" si="115"/>
        <v>1.824009173931981E-4</v>
      </c>
      <c r="S195" s="98">
        <f t="shared" si="115"/>
        <v>1.824009173931981E-4</v>
      </c>
      <c r="T195" s="98">
        <f t="shared" si="115"/>
        <v>1.824009173931981E-4</v>
      </c>
      <c r="U195" s="98">
        <f t="shared" si="115"/>
        <v>1.824009173931981E-4</v>
      </c>
      <c r="V195" s="98">
        <f t="shared" si="115"/>
        <v>1.824009173931981E-4</v>
      </c>
      <c r="W195" s="98">
        <f t="shared" si="115"/>
        <v>1.824009173931981E-4</v>
      </c>
      <c r="X195" s="98">
        <f t="shared" si="115"/>
        <v>1.824009173931981E-4</v>
      </c>
      <c r="Y195" s="98">
        <f t="shared" si="115"/>
        <v>1.824009173931981E-4</v>
      </c>
      <c r="Z195" s="98">
        <f t="shared" si="115"/>
        <v>1.824009173931981E-4</v>
      </c>
      <c r="AA195" s="98">
        <f t="shared" si="115"/>
        <v>1.824009173931981E-4</v>
      </c>
      <c r="AB195" s="98">
        <f t="shared" si="115"/>
        <v>1.824009173931981E-4</v>
      </c>
      <c r="AC195" s="98">
        <f t="shared" si="115"/>
        <v>1.824009173931981E-4</v>
      </c>
    </row>
    <row r="196" spans="1:29" s="85" customFormat="1" x14ac:dyDescent="0.3">
      <c r="A196" s="31"/>
      <c r="B196" s="31"/>
      <c r="C196" s="93"/>
      <c r="D196" s="85" t="str">
        <f t="shared" si="99"/>
        <v>Reefer Power Packs, 30 plugs, single engine, Tier 3 400 HP CAT</v>
      </c>
      <c r="E196" s="85" t="str">
        <f t="shared" si="99"/>
        <v>tons/yr</v>
      </c>
      <c r="G196" s="11">
        <f t="shared" si="100"/>
        <v>3.1339793988467671E-3</v>
      </c>
      <c r="I196" s="98">
        <f>$M95*I69</f>
        <v>1.4923711423079844E-4</v>
      </c>
      <c r="J196" s="98">
        <f t="shared" ref="J196:AC196" si="116">$M95*J69</f>
        <v>1.4923711423079844E-4</v>
      </c>
      <c r="K196" s="98">
        <f t="shared" si="116"/>
        <v>1.4923711423079844E-4</v>
      </c>
      <c r="L196" s="98">
        <f t="shared" si="116"/>
        <v>1.4923711423079844E-4</v>
      </c>
      <c r="M196" s="98">
        <f t="shared" si="116"/>
        <v>1.4923711423079844E-4</v>
      </c>
      <c r="N196" s="98">
        <f t="shared" si="116"/>
        <v>1.4923711423079844E-4</v>
      </c>
      <c r="O196" s="98">
        <f t="shared" si="116"/>
        <v>1.4923711423079844E-4</v>
      </c>
      <c r="P196" s="98">
        <f t="shared" si="116"/>
        <v>1.4923711423079844E-4</v>
      </c>
      <c r="Q196" s="98">
        <f t="shared" si="116"/>
        <v>1.4923711423079844E-4</v>
      </c>
      <c r="R196" s="98">
        <f t="shared" si="116"/>
        <v>1.4923711423079844E-4</v>
      </c>
      <c r="S196" s="98">
        <f t="shared" si="116"/>
        <v>1.4923711423079844E-4</v>
      </c>
      <c r="T196" s="98">
        <f t="shared" si="116"/>
        <v>1.4923711423079844E-4</v>
      </c>
      <c r="U196" s="98">
        <f t="shared" si="116"/>
        <v>1.4923711423079844E-4</v>
      </c>
      <c r="V196" s="98">
        <f t="shared" si="116"/>
        <v>1.4923711423079844E-4</v>
      </c>
      <c r="W196" s="98">
        <f t="shared" si="116"/>
        <v>1.4923711423079844E-4</v>
      </c>
      <c r="X196" s="98">
        <f t="shared" si="116"/>
        <v>1.4923711423079844E-4</v>
      </c>
      <c r="Y196" s="98">
        <f t="shared" si="116"/>
        <v>1.4923711423079844E-4</v>
      </c>
      <c r="Z196" s="98">
        <f t="shared" si="116"/>
        <v>1.4923711423079844E-4</v>
      </c>
      <c r="AA196" s="98">
        <f t="shared" si="116"/>
        <v>1.4923711423079844E-4</v>
      </c>
      <c r="AB196" s="98">
        <f t="shared" si="116"/>
        <v>1.4923711423079844E-4</v>
      </c>
      <c r="AC196" s="98">
        <f t="shared" si="116"/>
        <v>1.4923711423079844E-4</v>
      </c>
    </row>
    <row r="197" spans="1:29" s="85" customFormat="1" x14ac:dyDescent="0.3">
      <c r="A197" s="31"/>
      <c r="B197" s="31"/>
      <c r="C197" s="93"/>
      <c r="D197" s="85" t="str">
        <f t="shared" si="99"/>
        <v>Nose Mount genset 1 plug, single engine, Tier 3, 32-34HP, Kubota / Carrier or Yanmar</v>
      </c>
      <c r="E197" s="85" t="str">
        <f t="shared" si="99"/>
        <v>tons/yr</v>
      </c>
      <c r="G197" s="11">
        <f t="shared" si="100"/>
        <v>0.21943614513140319</v>
      </c>
      <c r="I197" s="98">
        <f>$M96*I70</f>
        <v>1.0449340244352531E-2</v>
      </c>
      <c r="J197" s="98">
        <f t="shared" ref="J197:AC197" si="117">$M96*J70</f>
        <v>1.0449340244352531E-2</v>
      </c>
      <c r="K197" s="98">
        <f t="shared" si="117"/>
        <v>1.0449340244352531E-2</v>
      </c>
      <c r="L197" s="98">
        <f t="shared" si="117"/>
        <v>1.0449340244352531E-2</v>
      </c>
      <c r="M197" s="98">
        <f t="shared" si="117"/>
        <v>1.0449340244352531E-2</v>
      </c>
      <c r="N197" s="98">
        <f t="shared" si="117"/>
        <v>1.0449340244352531E-2</v>
      </c>
      <c r="O197" s="98">
        <f t="shared" si="117"/>
        <v>1.0449340244352531E-2</v>
      </c>
      <c r="P197" s="98">
        <f t="shared" si="117"/>
        <v>1.0449340244352531E-2</v>
      </c>
      <c r="Q197" s="98">
        <f t="shared" si="117"/>
        <v>1.0449340244352531E-2</v>
      </c>
      <c r="R197" s="98">
        <f t="shared" si="117"/>
        <v>1.0449340244352531E-2</v>
      </c>
      <c r="S197" s="98">
        <f t="shared" si="117"/>
        <v>1.0449340244352531E-2</v>
      </c>
      <c r="T197" s="98">
        <f t="shared" si="117"/>
        <v>1.0449340244352531E-2</v>
      </c>
      <c r="U197" s="98">
        <f t="shared" si="117"/>
        <v>1.0449340244352531E-2</v>
      </c>
      <c r="V197" s="98">
        <f t="shared" si="117"/>
        <v>1.0449340244352531E-2</v>
      </c>
      <c r="W197" s="98">
        <f t="shared" si="117"/>
        <v>1.0449340244352531E-2</v>
      </c>
      <c r="X197" s="98">
        <f t="shared" si="117"/>
        <v>1.0449340244352531E-2</v>
      </c>
      <c r="Y197" s="98">
        <f t="shared" si="117"/>
        <v>1.0449340244352531E-2</v>
      </c>
      <c r="Z197" s="98">
        <f t="shared" si="117"/>
        <v>1.0449340244352531E-2</v>
      </c>
      <c r="AA197" s="98">
        <f t="shared" si="117"/>
        <v>1.0449340244352531E-2</v>
      </c>
      <c r="AB197" s="98">
        <f t="shared" si="117"/>
        <v>1.0449340244352531E-2</v>
      </c>
      <c r="AC197" s="98">
        <f t="shared" si="117"/>
        <v>1.0449340244352531E-2</v>
      </c>
    </row>
    <row r="198" spans="1:29" s="85" customFormat="1" x14ac:dyDescent="0.3">
      <c r="A198" s="31"/>
      <c r="B198" s="31"/>
      <c r="C198" s="93"/>
      <c r="D198" s="85" t="str">
        <f t="shared" si="99"/>
        <v>Reefer, electric</v>
      </c>
      <c r="E198" s="85" t="str">
        <f t="shared" si="99"/>
        <v>tons/yr</v>
      </c>
      <c r="G198" s="11">
        <f t="shared" si="100"/>
        <v>0</v>
      </c>
      <c r="I198" s="38">
        <f t="shared" ref="I198:AC198" si="118">$M97*I71/2000</f>
        <v>0</v>
      </c>
      <c r="J198" s="38">
        <f t="shared" ref="J198:AC198" si="119">$M97*J71/2000</f>
        <v>0</v>
      </c>
      <c r="K198" s="38">
        <f t="shared" si="119"/>
        <v>0</v>
      </c>
      <c r="L198" s="38">
        <f t="shared" si="119"/>
        <v>0</v>
      </c>
      <c r="M198" s="38">
        <f t="shared" si="119"/>
        <v>0</v>
      </c>
      <c r="N198" s="38">
        <f t="shared" si="119"/>
        <v>0</v>
      </c>
      <c r="O198" s="38">
        <f t="shared" si="119"/>
        <v>0</v>
      </c>
      <c r="P198" s="38">
        <f t="shared" si="119"/>
        <v>0</v>
      </c>
      <c r="Q198" s="38">
        <f t="shared" si="119"/>
        <v>0</v>
      </c>
      <c r="R198" s="38">
        <f t="shared" si="119"/>
        <v>0</v>
      </c>
      <c r="S198" s="38">
        <f t="shared" si="119"/>
        <v>0</v>
      </c>
      <c r="T198" s="38">
        <f t="shared" si="119"/>
        <v>0</v>
      </c>
      <c r="U198" s="38">
        <f t="shared" si="119"/>
        <v>0</v>
      </c>
      <c r="V198" s="38">
        <f t="shared" si="119"/>
        <v>0</v>
      </c>
      <c r="W198" s="38">
        <f t="shared" si="119"/>
        <v>0</v>
      </c>
      <c r="X198" s="38">
        <f t="shared" si="119"/>
        <v>0</v>
      </c>
      <c r="Y198" s="38">
        <f t="shared" si="119"/>
        <v>0</v>
      </c>
      <c r="Z198" s="38">
        <f t="shared" si="119"/>
        <v>0</v>
      </c>
      <c r="AA198" s="38">
        <f t="shared" si="119"/>
        <v>0</v>
      </c>
      <c r="AB198" s="38">
        <f t="shared" si="119"/>
        <v>0</v>
      </c>
      <c r="AC198" s="38">
        <f t="shared" si="119"/>
        <v>0</v>
      </c>
    </row>
    <row r="199" spans="1:29" s="85" customFormat="1" x14ac:dyDescent="0.3">
      <c r="A199" s="31"/>
      <c r="B199" s="31"/>
      <c r="C199" s="93"/>
      <c r="D199" s="31" t="str">
        <f t="shared" si="99"/>
        <v>TOTAL</v>
      </c>
      <c r="E199" s="85" t="str">
        <f t="shared" si="99"/>
        <v>tons/yr</v>
      </c>
      <c r="G199" s="72">
        <f t="shared" si="100"/>
        <v>13.553274825115128</v>
      </c>
      <c r="I199" s="75">
        <f t="shared" ref="I199:AC199" si="120">SUM(I185:I198)</f>
        <v>1.1968808076813695</v>
      </c>
      <c r="J199" s="75">
        <f t="shared" si="120"/>
        <v>1.1968808076813695</v>
      </c>
      <c r="K199" s="75">
        <f t="shared" si="120"/>
        <v>1.1968808076813695</v>
      </c>
      <c r="L199" s="75">
        <f t="shared" si="120"/>
        <v>1.1084596048092159</v>
      </c>
      <c r="M199" s="75">
        <f t="shared" si="120"/>
        <v>1.0200258036752035</v>
      </c>
      <c r="N199" s="75">
        <f t="shared" si="120"/>
        <v>0.93393652099669744</v>
      </c>
      <c r="O199" s="75">
        <f t="shared" si="120"/>
        <v>0.85021100477091671</v>
      </c>
      <c r="P199" s="75">
        <f t="shared" si="120"/>
        <v>0.76356936201475234</v>
      </c>
      <c r="Q199" s="75">
        <f t="shared" si="120"/>
        <v>0.67408572309138648</v>
      </c>
      <c r="R199" s="75">
        <f t="shared" si="120"/>
        <v>0.58460208416802073</v>
      </c>
      <c r="S199" s="75">
        <f t="shared" si="120"/>
        <v>0.49325913413369016</v>
      </c>
      <c r="T199" s="75">
        <f t="shared" si="120"/>
        <v>0.41501478557212657</v>
      </c>
      <c r="U199" s="75">
        <f t="shared" si="120"/>
        <v>0.34660759764877969</v>
      </c>
      <c r="V199" s="75">
        <f t="shared" si="120"/>
        <v>0.34660759764877969</v>
      </c>
      <c r="W199" s="75">
        <f t="shared" si="120"/>
        <v>0.34660759764877969</v>
      </c>
      <c r="X199" s="75">
        <f t="shared" si="120"/>
        <v>0.34660759764877969</v>
      </c>
      <c r="Y199" s="75">
        <f t="shared" si="120"/>
        <v>0.34660759764877969</v>
      </c>
      <c r="Z199" s="75">
        <f t="shared" si="120"/>
        <v>0.34660759764877969</v>
      </c>
      <c r="AA199" s="75">
        <f t="shared" si="120"/>
        <v>0.34660759764877969</v>
      </c>
      <c r="AB199" s="75">
        <f t="shared" si="120"/>
        <v>0.34660759764877969</v>
      </c>
      <c r="AC199" s="75">
        <f t="shared" si="120"/>
        <v>0.34660759764877969</v>
      </c>
    </row>
    <row r="200" spans="1:29" s="85" customFormat="1" x14ac:dyDescent="0.3">
      <c r="A200" s="31"/>
      <c r="B200" s="31"/>
      <c r="C200" s="31"/>
      <c r="G200" s="87"/>
    </row>
    <row r="201" spans="1:29" s="85" customFormat="1" x14ac:dyDescent="0.3">
      <c r="A201" s="31"/>
      <c r="B201" s="31"/>
      <c r="C201" s="93" t="s">
        <v>377</v>
      </c>
      <c r="D201" s="31" t="s">
        <v>363</v>
      </c>
      <c r="G201" s="87"/>
    </row>
    <row r="202" spans="1:29" s="85" customFormat="1" x14ac:dyDescent="0.3">
      <c r="A202" s="31"/>
      <c r="B202" s="31"/>
      <c r="C202" s="93"/>
      <c r="D202" s="85" t="str">
        <f t="shared" ref="D202:E216" si="121">D185</f>
        <v>Top Pick</v>
      </c>
      <c r="E202" s="85" t="str">
        <f t="shared" si="121"/>
        <v>tons/yr</v>
      </c>
      <c r="G202" s="11">
        <f t="shared" ref="G202:G216" si="122">SUM(I202:AC202)</f>
        <v>1.2364447238279428</v>
      </c>
      <c r="I202" s="98">
        <f>I$344*I$58</f>
        <v>0.13806850437292134</v>
      </c>
      <c r="J202" s="98">
        <f t="shared" ref="J202:AC202" si="123">J$344*J$58</f>
        <v>0.13806850437292134</v>
      </c>
      <c r="K202" s="98">
        <f t="shared" si="123"/>
        <v>0.13806850437292134</v>
      </c>
      <c r="L202" s="98">
        <f t="shared" si="123"/>
        <v>0.11211935330280767</v>
      </c>
      <c r="M202" s="98">
        <f t="shared" si="123"/>
        <v>8.6170220536968697E-2</v>
      </c>
      <c r="N202" s="98">
        <f t="shared" si="123"/>
        <v>6.0220418607176321E-2</v>
      </c>
      <c r="O202" s="98">
        <f t="shared" si="123"/>
        <v>3.4268816898055637E-2</v>
      </c>
      <c r="P202" s="98">
        <f t="shared" si="123"/>
        <v>3.7509107207935016E-2</v>
      </c>
      <c r="Q202" s="98">
        <f t="shared" si="123"/>
        <v>3.7587850114682207E-2</v>
      </c>
      <c r="R202" s="98">
        <f t="shared" si="123"/>
        <v>3.7666593021429377E-2</v>
      </c>
      <c r="S202" s="98">
        <f t="shared" si="123"/>
        <v>3.7745594710992939E-2</v>
      </c>
      <c r="T202" s="98">
        <f t="shared" si="123"/>
        <v>3.7824067790150497E-2</v>
      </c>
      <c r="U202" s="98">
        <f t="shared" si="123"/>
        <v>3.7903020946553345E-2</v>
      </c>
      <c r="V202" s="98">
        <f t="shared" si="123"/>
        <v>3.7903020946553345E-2</v>
      </c>
      <c r="W202" s="98">
        <f t="shared" si="123"/>
        <v>3.7903020946553345E-2</v>
      </c>
      <c r="X202" s="98">
        <f t="shared" si="123"/>
        <v>3.7903020946553345E-2</v>
      </c>
      <c r="Y202" s="98">
        <f t="shared" si="123"/>
        <v>3.7903020946553345E-2</v>
      </c>
      <c r="Z202" s="98">
        <f t="shared" si="123"/>
        <v>3.7903020946553345E-2</v>
      </c>
      <c r="AA202" s="98">
        <f t="shared" si="123"/>
        <v>3.7903020946553345E-2</v>
      </c>
      <c r="AB202" s="98">
        <f t="shared" si="123"/>
        <v>3.7903020946553345E-2</v>
      </c>
      <c r="AC202" s="98">
        <f t="shared" si="123"/>
        <v>3.7903020946553345E-2</v>
      </c>
    </row>
    <row r="203" spans="1:29" s="85" customFormat="1" x14ac:dyDescent="0.3">
      <c r="A203" s="31"/>
      <c r="B203" s="31"/>
      <c r="C203" s="93"/>
      <c r="D203" s="85" t="str">
        <f t="shared" si="121"/>
        <v>RTGs, Hybrid</v>
      </c>
      <c r="E203" s="85" t="str">
        <f t="shared" si="121"/>
        <v>tons/yr</v>
      </c>
      <c r="G203" s="11">
        <f t="shared" si="122"/>
        <v>0</v>
      </c>
      <c r="I203" s="98">
        <f>$N85*I59</f>
        <v>0</v>
      </c>
      <c r="J203" s="98">
        <f t="shared" ref="J203:AC214" si="124">$N85*J59</f>
        <v>0</v>
      </c>
      <c r="K203" s="98">
        <f t="shared" si="124"/>
        <v>0</v>
      </c>
      <c r="L203" s="98">
        <f t="shared" si="124"/>
        <v>0</v>
      </c>
      <c r="M203" s="98">
        <f t="shared" si="124"/>
        <v>0</v>
      </c>
      <c r="N203" s="98">
        <f t="shared" si="124"/>
        <v>0</v>
      </c>
      <c r="O203" s="98">
        <f t="shared" si="124"/>
        <v>0</v>
      </c>
      <c r="P203" s="98">
        <f t="shared" si="124"/>
        <v>0</v>
      </c>
      <c r="Q203" s="98">
        <f t="shared" si="124"/>
        <v>0</v>
      </c>
      <c r="R203" s="98">
        <f t="shared" si="124"/>
        <v>0</v>
      </c>
      <c r="S203" s="98">
        <f t="shared" si="124"/>
        <v>0</v>
      </c>
      <c r="T203" s="98">
        <f t="shared" si="124"/>
        <v>0</v>
      </c>
      <c r="U203" s="98">
        <f t="shared" si="124"/>
        <v>0</v>
      </c>
      <c r="V203" s="98">
        <f t="shared" si="124"/>
        <v>0</v>
      </c>
      <c r="W203" s="98">
        <f t="shared" si="124"/>
        <v>0</v>
      </c>
      <c r="X203" s="98">
        <f t="shared" si="124"/>
        <v>0</v>
      </c>
      <c r="Y203" s="98">
        <f t="shared" si="124"/>
        <v>0</v>
      </c>
      <c r="Z203" s="98">
        <f t="shared" si="124"/>
        <v>0</v>
      </c>
      <c r="AA203" s="98">
        <f t="shared" si="124"/>
        <v>0</v>
      </c>
      <c r="AB203" s="98">
        <f t="shared" si="124"/>
        <v>0</v>
      </c>
      <c r="AC203" s="98">
        <f t="shared" si="124"/>
        <v>0</v>
      </c>
    </row>
    <row r="204" spans="1:29" s="85" customFormat="1" x14ac:dyDescent="0.3">
      <c r="A204" s="31"/>
      <c r="B204" s="31"/>
      <c r="C204" s="93"/>
      <c r="D204" s="85" t="str">
        <f t="shared" si="121"/>
        <v>Forklift, 10000 lb, Diesel</v>
      </c>
      <c r="E204" s="85" t="str">
        <f t="shared" si="121"/>
        <v>tons/yr</v>
      </c>
      <c r="G204" s="11">
        <f t="shared" si="122"/>
        <v>4.7647681921776007E-2</v>
      </c>
      <c r="I204" s="98">
        <f>$N86*I60</f>
        <v>2.2689372343702866E-3</v>
      </c>
      <c r="J204" s="98">
        <f t="shared" si="124"/>
        <v>2.2689372343702866E-3</v>
      </c>
      <c r="K204" s="98">
        <f t="shared" si="124"/>
        <v>2.2689372343702866E-3</v>
      </c>
      <c r="L204" s="98">
        <f t="shared" si="124"/>
        <v>2.2689372343702866E-3</v>
      </c>
      <c r="M204" s="98">
        <f t="shared" si="124"/>
        <v>2.2689372343702866E-3</v>
      </c>
      <c r="N204" s="98">
        <f t="shared" si="124"/>
        <v>2.2689372343702866E-3</v>
      </c>
      <c r="O204" s="98">
        <f t="shared" si="124"/>
        <v>2.2689372343702866E-3</v>
      </c>
      <c r="P204" s="98">
        <f t="shared" si="124"/>
        <v>2.2689372343702866E-3</v>
      </c>
      <c r="Q204" s="98">
        <f t="shared" si="124"/>
        <v>2.2689372343702866E-3</v>
      </c>
      <c r="R204" s="98">
        <f t="shared" si="124"/>
        <v>2.2689372343702866E-3</v>
      </c>
      <c r="S204" s="98">
        <f t="shared" si="124"/>
        <v>2.2689372343702866E-3</v>
      </c>
      <c r="T204" s="98">
        <f t="shared" si="124"/>
        <v>2.2689372343702866E-3</v>
      </c>
      <c r="U204" s="98">
        <f t="shared" si="124"/>
        <v>2.2689372343702866E-3</v>
      </c>
      <c r="V204" s="98">
        <f t="shared" si="124"/>
        <v>2.2689372343702866E-3</v>
      </c>
      <c r="W204" s="98">
        <f t="shared" si="124"/>
        <v>2.2689372343702866E-3</v>
      </c>
      <c r="X204" s="98">
        <f t="shared" si="124"/>
        <v>2.2689372343702866E-3</v>
      </c>
      <c r="Y204" s="98">
        <f t="shared" si="124"/>
        <v>2.2689372343702866E-3</v>
      </c>
      <c r="Z204" s="98">
        <f t="shared" si="124"/>
        <v>2.2689372343702866E-3</v>
      </c>
      <c r="AA204" s="98">
        <f t="shared" si="124"/>
        <v>2.2689372343702866E-3</v>
      </c>
      <c r="AB204" s="98">
        <f t="shared" si="124"/>
        <v>2.2689372343702866E-3</v>
      </c>
      <c r="AC204" s="98">
        <f t="shared" si="124"/>
        <v>2.2689372343702866E-3</v>
      </c>
    </row>
    <row r="205" spans="1:29" s="85" customFormat="1" x14ac:dyDescent="0.3">
      <c r="A205" s="31"/>
      <c r="B205" s="31"/>
      <c r="C205" s="93"/>
      <c r="D205" s="85" t="str">
        <f t="shared" si="121"/>
        <v>Forklift, 10000 lb, electric</v>
      </c>
      <c r="E205" s="85" t="str">
        <f t="shared" si="121"/>
        <v>tons/yr</v>
      </c>
      <c r="G205" s="11">
        <f t="shared" si="122"/>
        <v>0</v>
      </c>
      <c r="I205" s="38">
        <f t="shared" ref="I205:AC205" si="125">$N87*I61/2000</f>
        <v>0</v>
      </c>
      <c r="J205" s="38">
        <f t="shared" si="125"/>
        <v>0</v>
      </c>
      <c r="K205" s="38">
        <f t="shared" si="125"/>
        <v>0</v>
      </c>
      <c r="L205" s="38">
        <f t="shared" si="125"/>
        <v>0</v>
      </c>
      <c r="M205" s="38">
        <f t="shared" si="125"/>
        <v>0</v>
      </c>
      <c r="N205" s="38">
        <f t="shared" si="125"/>
        <v>0</v>
      </c>
      <c r="O205" s="38">
        <f t="shared" si="125"/>
        <v>0</v>
      </c>
      <c r="P205" s="38">
        <f t="shared" si="125"/>
        <v>0</v>
      </c>
      <c r="Q205" s="38">
        <f t="shared" si="125"/>
        <v>0</v>
      </c>
      <c r="R205" s="38">
        <f t="shared" si="125"/>
        <v>0</v>
      </c>
      <c r="S205" s="38">
        <f t="shared" si="125"/>
        <v>0</v>
      </c>
      <c r="T205" s="38">
        <f t="shared" si="125"/>
        <v>0</v>
      </c>
      <c r="U205" s="38">
        <f t="shared" si="125"/>
        <v>0</v>
      </c>
      <c r="V205" s="38">
        <f t="shared" si="125"/>
        <v>0</v>
      </c>
      <c r="W205" s="38">
        <f t="shared" si="125"/>
        <v>0</v>
      </c>
      <c r="X205" s="38">
        <f t="shared" si="125"/>
        <v>0</v>
      </c>
      <c r="Y205" s="38">
        <f t="shared" si="125"/>
        <v>0</v>
      </c>
      <c r="Z205" s="38">
        <f t="shared" si="125"/>
        <v>0</v>
      </c>
      <c r="AA205" s="38">
        <f t="shared" si="125"/>
        <v>0</v>
      </c>
      <c r="AB205" s="38">
        <f t="shared" si="125"/>
        <v>0</v>
      </c>
      <c r="AC205" s="38">
        <f t="shared" si="125"/>
        <v>0</v>
      </c>
    </row>
    <row r="206" spans="1:29" s="85" customFormat="1" x14ac:dyDescent="0.3">
      <c r="A206" s="31"/>
      <c r="B206" s="31"/>
      <c r="C206" s="93"/>
      <c r="D206" s="85" t="str">
        <f t="shared" si="121"/>
        <v>Forklift, 18000 lb, Diesel</v>
      </c>
      <c r="E206" s="85" t="str">
        <f t="shared" si="121"/>
        <v>tons/yr</v>
      </c>
      <c r="G206" s="11">
        <f t="shared" si="122"/>
        <v>7.9412803202960014E-2</v>
      </c>
      <c r="I206" s="98">
        <f>$N88*I62</f>
        <v>3.7815620572838101E-3</v>
      </c>
      <c r="J206" s="98">
        <f t="shared" si="124"/>
        <v>3.7815620572838101E-3</v>
      </c>
      <c r="K206" s="98">
        <f t="shared" si="124"/>
        <v>3.7815620572838101E-3</v>
      </c>
      <c r="L206" s="98">
        <f t="shared" si="124"/>
        <v>3.7815620572838101E-3</v>
      </c>
      <c r="M206" s="98">
        <f t="shared" si="124"/>
        <v>3.7815620572838101E-3</v>
      </c>
      <c r="N206" s="98">
        <f t="shared" si="124"/>
        <v>3.7815620572838101E-3</v>
      </c>
      <c r="O206" s="98">
        <f t="shared" si="124"/>
        <v>3.7815620572838101E-3</v>
      </c>
      <c r="P206" s="98">
        <f t="shared" si="124"/>
        <v>3.7815620572838101E-3</v>
      </c>
      <c r="Q206" s="98">
        <f t="shared" si="124"/>
        <v>3.7815620572838101E-3</v>
      </c>
      <c r="R206" s="98">
        <f t="shared" si="124"/>
        <v>3.7815620572838101E-3</v>
      </c>
      <c r="S206" s="98">
        <f t="shared" si="124"/>
        <v>3.7815620572838101E-3</v>
      </c>
      <c r="T206" s="98">
        <f t="shared" si="124"/>
        <v>3.7815620572838101E-3</v>
      </c>
      <c r="U206" s="98">
        <f t="shared" si="124"/>
        <v>3.7815620572838101E-3</v>
      </c>
      <c r="V206" s="98">
        <f t="shared" si="124"/>
        <v>3.7815620572838101E-3</v>
      </c>
      <c r="W206" s="98">
        <f t="shared" si="124"/>
        <v>3.7815620572838101E-3</v>
      </c>
      <c r="X206" s="98">
        <f t="shared" si="124"/>
        <v>3.7815620572838101E-3</v>
      </c>
      <c r="Y206" s="98">
        <f t="shared" si="124"/>
        <v>3.7815620572838101E-3</v>
      </c>
      <c r="Z206" s="98">
        <f t="shared" si="124"/>
        <v>3.7815620572838101E-3</v>
      </c>
      <c r="AA206" s="98">
        <f t="shared" si="124"/>
        <v>3.7815620572838101E-3</v>
      </c>
      <c r="AB206" s="98">
        <f t="shared" si="124"/>
        <v>3.7815620572838101E-3</v>
      </c>
      <c r="AC206" s="98">
        <f t="shared" si="124"/>
        <v>3.7815620572838101E-3</v>
      </c>
    </row>
    <row r="207" spans="1:29" s="85" customFormat="1" x14ac:dyDescent="0.3">
      <c r="A207" s="31"/>
      <c r="B207" s="31"/>
      <c r="C207" s="93"/>
      <c r="D207" s="85" t="str">
        <f t="shared" si="121"/>
        <v>Forklift, 18000 lb, electric</v>
      </c>
      <c r="E207" s="85" t="str">
        <f t="shared" si="121"/>
        <v>tons/yr</v>
      </c>
      <c r="G207" s="11">
        <f t="shared" si="122"/>
        <v>0</v>
      </c>
      <c r="I207" s="38">
        <f t="shared" ref="I207:AC207" si="126">$N89*I63/2000</f>
        <v>0</v>
      </c>
      <c r="J207" s="38">
        <f t="shared" si="126"/>
        <v>0</v>
      </c>
      <c r="K207" s="38">
        <f t="shared" si="126"/>
        <v>0</v>
      </c>
      <c r="L207" s="38">
        <f t="shared" si="126"/>
        <v>0</v>
      </c>
      <c r="M207" s="38">
        <f t="shared" si="126"/>
        <v>0</v>
      </c>
      <c r="N207" s="38">
        <f t="shared" si="126"/>
        <v>0</v>
      </c>
      <c r="O207" s="38">
        <f t="shared" si="126"/>
        <v>0</v>
      </c>
      <c r="P207" s="38">
        <f t="shared" si="126"/>
        <v>0</v>
      </c>
      <c r="Q207" s="38">
        <f t="shared" si="126"/>
        <v>0</v>
      </c>
      <c r="R207" s="38">
        <f t="shared" si="126"/>
        <v>0</v>
      </c>
      <c r="S207" s="38">
        <f t="shared" si="126"/>
        <v>0</v>
      </c>
      <c r="T207" s="38">
        <f t="shared" si="126"/>
        <v>0</v>
      </c>
      <c r="U207" s="38">
        <f t="shared" si="126"/>
        <v>0</v>
      </c>
      <c r="V207" s="38">
        <f t="shared" si="126"/>
        <v>0</v>
      </c>
      <c r="W207" s="38">
        <f t="shared" si="126"/>
        <v>0</v>
      </c>
      <c r="X207" s="38">
        <f t="shared" si="126"/>
        <v>0</v>
      </c>
      <c r="Y207" s="38">
        <f t="shared" si="126"/>
        <v>0</v>
      </c>
      <c r="Z207" s="38">
        <f t="shared" si="126"/>
        <v>0</v>
      </c>
      <c r="AA207" s="38">
        <f t="shared" si="126"/>
        <v>0</v>
      </c>
      <c r="AB207" s="38">
        <f t="shared" si="126"/>
        <v>0</v>
      </c>
      <c r="AC207" s="38">
        <f t="shared" si="126"/>
        <v>0</v>
      </c>
    </row>
    <row r="208" spans="1:29" s="85" customFormat="1" x14ac:dyDescent="0.3">
      <c r="A208" s="31"/>
      <c r="B208" s="31"/>
      <c r="C208" s="93"/>
      <c r="D208" s="85" t="str">
        <f t="shared" si="121"/>
        <v>Forklift, 36000 lb, diesel</v>
      </c>
      <c r="E208" s="85" t="str">
        <f t="shared" si="121"/>
        <v>tons/yr</v>
      </c>
      <c r="G208" s="11">
        <f t="shared" si="122"/>
        <v>9.2035017316089499E-2</v>
      </c>
      <c r="I208" s="98">
        <f>$N90*I64</f>
        <v>4.3826198721947382E-3</v>
      </c>
      <c r="J208" s="98">
        <f t="shared" si="124"/>
        <v>4.3826198721947382E-3</v>
      </c>
      <c r="K208" s="98">
        <f t="shared" si="124"/>
        <v>4.3826198721947382E-3</v>
      </c>
      <c r="L208" s="98">
        <f t="shared" si="124"/>
        <v>4.3826198721947382E-3</v>
      </c>
      <c r="M208" s="98">
        <f t="shared" si="124"/>
        <v>4.3826198721947382E-3</v>
      </c>
      <c r="N208" s="98">
        <f t="shared" si="124"/>
        <v>4.3826198721947382E-3</v>
      </c>
      <c r="O208" s="98">
        <f t="shared" si="124"/>
        <v>4.3826198721947382E-3</v>
      </c>
      <c r="P208" s="98">
        <f t="shared" si="124"/>
        <v>4.3826198721947382E-3</v>
      </c>
      <c r="Q208" s="98">
        <f t="shared" si="124"/>
        <v>4.3826198721947382E-3</v>
      </c>
      <c r="R208" s="98">
        <f t="shared" si="124"/>
        <v>4.3826198721947382E-3</v>
      </c>
      <c r="S208" s="98">
        <f t="shared" si="124"/>
        <v>4.3826198721947382E-3</v>
      </c>
      <c r="T208" s="98">
        <f t="shared" si="124"/>
        <v>4.3826198721947382E-3</v>
      </c>
      <c r="U208" s="98">
        <f t="shared" si="124"/>
        <v>4.3826198721947382E-3</v>
      </c>
      <c r="V208" s="98">
        <f t="shared" si="124"/>
        <v>4.3826198721947382E-3</v>
      </c>
      <c r="W208" s="98">
        <f t="shared" si="124"/>
        <v>4.3826198721947382E-3</v>
      </c>
      <c r="X208" s="98">
        <f t="shared" si="124"/>
        <v>4.3826198721947382E-3</v>
      </c>
      <c r="Y208" s="98">
        <f t="shared" si="124"/>
        <v>4.3826198721947382E-3</v>
      </c>
      <c r="Z208" s="98">
        <f t="shared" si="124"/>
        <v>4.3826198721947382E-3</v>
      </c>
      <c r="AA208" s="98">
        <f t="shared" si="124"/>
        <v>4.3826198721947382E-3</v>
      </c>
      <c r="AB208" s="98">
        <f t="shared" si="124"/>
        <v>4.3826198721947382E-3</v>
      </c>
      <c r="AC208" s="98">
        <f t="shared" si="124"/>
        <v>4.3826198721947382E-3</v>
      </c>
    </row>
    <row r="209" spans="1:29" s="85" customFormat="1" x14ac:dyDescent="0.3">
      <c r="A209" s="31"/>
      <c r="B209" s="31"/>
      <c r="C209" s="93"/>
      <c r="D209" s="85" t="str">
        <f t="shared" si="121"/>
        <v>Forklift, 36000 lb, electric</v>
      </c>
      <c r="E209" s="85" t="str">
        <f t="shared" si="121"/>
        <v>tons/yr</v>
      </c>
      <c r="G209" s="11">
        <f t="shared" si="122"/>
        <v>0</v>
      </c>
      <c r="I209" s="38">
        <f t="shared" ref="I209:AC209" si="127">$N91*I65/2000</f>
        <v>0</v>
      </c>
      <c r="J209" s="38">
        <f t="shared" si="127"/>
        <v>0</v>
      </c>
      <c r="K209" s="38">
        <f t="shared" si="127"/>
        <v>0</v>
      </c>
      <c r="L209" s="38">
        <f t="shared" si="127"/>
        <v>0</v>
      </c>
      <c r="M209" s="38">
        <f t="shared" si="127"/>
        <v>0</v>
      </c>
      <c r="N209" s="38">
        <f t="shared" si="127"/>
        <v>0</v>
      </c>
      <c r="O209" s="38">
        <f t="shared" si="127"/>
        <v>0</v>
      </c>
      <c r="P209" s="38">
        <f t="shared" si="127"/>
        <v>0</v>
      </c>
      <c r="Q209" s="38">
        <f t="shared" si="127"/>
        <v>0</v>
      </c>
      <c r="R209" s="38">
        <f t="shared" si="127"/>
        <v>0</v>
      </c>
      <c r="S209" s="38">
        <f t="shared" si="127"/>
        <v>0</v>
      </c>
      <c r="T209" s="38">
        <f t="shared" si="127"/>
        <v>0</v>
      </c>
      <c r="U209" s="38">
        <f t="shared" si="127"/>
        <v>0</v>
      </c>
      <c r="V209" s="38">
        <f t="shared" si="127"/>
        <v>0</v>
      </c>
      <c r="W209" s="38">
        <f t="shared" si="127"/>
        <v>0</v>
      </c>
      <c r="X209" s="38">
        <f t="shared" si="127"/>
        <v>0</v>
      </c>
      <c r="Y209" s="38">
        <f t="shared" si="127"/>
        <v>0</v>
      </c>
      <c r="Z209" s="38">
        <f t="shared" si="127"/>
        <v>0</v>
      </c>
      <c r="AA209" s="38">
        <f t="shared" si="127"/>
        <v>0</v>
      </c>
      <c r="AB209" s="38">
        <f t="shared" si="127"/>
        <v>0</v>
      </c>
      <c r="AC209" s="38">
        <f t="shared" si="127"/>
        <v>0</v>
      </c>
    </row>
    <row r="210" spans="1:29" s="85" customFormat="1" x14ac:dyDescent="0.3">
      <c r="A210" s="31"/>
      <c r="B210" s="31"/>
      <c r="C210" s="93"/>
      <c r="D210" s="85" t="str">
        <f t="shared" si="121"/>
        <v>Yard Tractor, Diesel</v>
      </c>
      <c r="E210" s="85" t="str">
        <f t="shared" si="121"/>
        <v>tons/yr</v>
      </c>
      <c r="G210" s="11">
        <f t="shared" si="122"/>
        <v>0.1271710758404449</v>
      </c>
      <c r="I210" s="98">
        <f>$N92*I66</f>
        <v>6.0557655162116631E-3</v>
      </c>
      <c r="J210" s="98">
        <f t="shared" si="124"/>
        <v>6.0557655162116631E-3</v>
      </c>
      <c r="K210" s="98">
        <f t="shared" si="124"/>
        <v>6.0557655162116631E-3</v>
      </c>
      <c r="L210" s="98">
        <f t="shared" si="124"/>
        <v>6.0557655162116631E-3</v>
      </c>
      <c r="M210" s="98">
        <f t="shared" si="124"/>
        <v>6.0557655162116631E-3</v>
      </c>
      <c r="N210" s="98">
        <f t="shared" si="124"/>
        <v>6.0557655162116631E-3</v>
      </c>
      <c r="O210" s="98">
        <f t="shared" si="124"/>
        <v>6.0557655162116631E-3</v>
      </c>
      <c r="P210" s="98">
        <f t="shared" si="124"/>
        <v>6.0557655162116631E-3</v>
      </c>
      <c r="Q210" s="98">
        <f t="shared" si="124"/>
        <v>6.0557655162116631E-3</v>
      </c>
      <c r="R210" s="98">
        <f t="shared" si="124"/>
        <v>6.0557655162116631E-3</v>
      </c>
      <c r="S210" s="98">
        <f t="shared" si="124"/>
        <v>6.0557655162116631E-3</v>
      </c>
      <c r="T210" s="98">
        <f t="shared" si="124"/>
        <v>6.0557655162116631E-3</v>
      </c>
      <c r="U210" s="98">
        <f t="shared" si="124"/>
        <v>6.0557655162116631E-3</v>
      </c>
      <c r="V210" s="98">
        <f t="shared" si="124"/>
        <v>6.0557655162116631E-3</v>
      </c>
      <c r="W210" s="98">
        <f t="shared" si="124"/>
        <v>6.0557655162116631E-3</v>
      </c>
      <c r="X210" s="98">
        <f t="shared" si="124"/>
        <v>6.0557655162116631E-3</v>
      </c>
      <c r="Y210" s="98">
        <f t="shared" si="124"/>
        <v>6.0557655162116631E-3</v>
      </c>
      <c r="Z210" s="98">
        <f t="shared" si="124"/>
        <v>6.0557655162116631E-3</v>
      </c>
      <c r="AA210" s="98">
        <f t="shared" si="124"/>
        <v>6.0557655162116631E-3</v>
      </c>
      <c r="AB210" s="98">
        <f t="shared" si="124"/>
        <v>6.0557655162116631E-3</v>
      </c>
      <c r="AC210" s="98">
        <f t="shared" si="124"/>
        <v>6.0557655162116631E-3</v>
      </c>
    </row>
    <row r="211" spans="1:29" s="85" customFormat="1" x14ac:dyDescent="0.3">
      <c r="A211" s="31"/>
      <c r="B211" s="31"/>
      <c r="C211" s="93"/>
      <c r="D211" s="85" t="str">
        <f t="shared" si="121"/>
        <v>Yard Tractor, electric</v>
      </c>
      <c r="E211" s="85" t="str">
        <f t="shared" si="121"/>
        <v>tons/yr</v>
      </c>
      <c r="G211" s="11">
        <f t="shared" si="122"/>
        <v>0</v>
      </c>
      <c r="I211" s="38">
        <f t="shared" ref="I211:AC211" si="128">$N93*I67/2000</f>
        <v>0</v>
      </c>
      <c r="J211" s="38">
        <f t="shared" si="128"/>
        <v>0</v>
      </c>
      <c r="K211" s="38">
        <f t="shared" si="128"/>
        <v>0</v>
      </c>
      <c r="L211" s="38">
        <f t="shared" si="128"/>
        <v>0</v>
      </c>
      <c r="M211" s="38">
        <f t="shared" si="128"/>
        <v>0</v>
      </c>
      <c r="N211" s="38">
        <f t="shared" si="128"/>
        <v>0</v>
      </c>
      <c r="O211" s="38">
        <f t="shared" si="128"/>
        <v>0</v>
      </c>
      <c r="P211" s="38">
        <f t="shared" si="128"/>
        <v>0</v>
      </c>
      <c r="Q211" s="38">
        <f t="shared" si="128"/>
        <v>0</v>
      </c>
      <c r="R211" s="38">
        <f t="shared" si="128"/>
        <v>0</v>
      </c>
      <c r="S211" s="38">
        <f t="shared" si="128"/>
        <v>0</v>
      </c>
      <c r="T211" s="38">
        <f t="shared" si="128"/>
        <v>0</v>
      </c>
      <c r="U211" s="38">
        <f t="shared" si="128"/>
        <v>0</v>
      </c>
      <c r="V211" s="38">
        <f t="shared" si="128"/>
        <v>0</v>
      </c>
      <c r="W211" s="38">
        <f t="shared" si="128"/>
        <v>0</v>
      </c>
      <c r="X211" s="38">
        <f t="shared" si="128"/>
        <v>0</v>
      </c>
      <c r="Y211" s="38">
        <f t="shared" si="128"/>
        <v>0</v>
      </c>
      <c r="Z211" s="38">
        <f t="shared" si="128"/>
        <v>0</v>
      </c>
      <c r="AA211" s="38">
        <f t="shared" si="128"/>
        <v>0</v>
      </c>
      <c r="AB211" s="38">
        <f t="shared" si="128"/>
        <v>0</v>
      </c>
      <c r="AC211" s="38">
        <f t="shared" si="128"/>
        <v>0</v>
      </c>
    </row>
    <row r="212" spans="1:29" s="85" customFormat="1" x14ac:dyDescent="0.3">
      <c r="A212" s="31"/>
      <c r="B212" s="31"/>
      <c r="C212" s="93"/>
      <c r="D212" s="85" t="str">
        <f t="shared" si="121"/>
        <v>Reefer Power Packs, 30 plugs, dual engine, Tier 3, 400 HP CAT</v>
      </c>
      <c r="E212" s="85" t="str">
        <f t="shared" si="121"/>
        <v>tons/yr</v>
      </c>
      <c r="G212" s="11">
        <f t="shared" si="122"/>
        <v>1.8403311247155347E-3</v>
      </c>
      <c r="I212" s="98">
        <f>$N94*I68</f>
        <v>8.7634815462644494E-5</v>
      </c>
      <c r="J212" s="98">
        <f t="shared" si="124"/>
        <v>8.7634815462644494E-5</v>
      </c>
      <c r="K212" s="98">
        <f t="shared" si="124"/>
        <v>8.7634815462644494E-5</v>
      </c>
      <c r="L212" s="98">
        <f t="shared" si="124"/>
        <v>8.7634815462644494E-5</v>
      </c>
      <c r="M212" s="98">
        <f t="shared" si="124"/>
        <v>8.7634815462644494E-5</v>
      </c>
      <c r="N212" s="98">
        <f t="shared" si="124"/>
        <v>8.7634815462644494E-5</v>
      </c>
      <c r="O212" s="98">
        <f t="shared" si="124"/>
        <v>8.7634815462644494E-5</v>
      </c>
      <c r="P212" s="98">
        <f t="shared" si="124"/>
        <v>8.7634815462644494E-5</v>
      </c>
      <c r="Q212" s="98">
        <f t="shared" si="124"/>
        <v>8.7634815462644494E-5</v>
      </c>
      <c r="R212" s="98">
        <f t="shared" si="124"/>
        <v>8.7634815462644494E-5</v>
      </c>
      <c r="S212" s="98">
        <f t="shared" si="124"/>
        <v>8.7634815462644494E-5</v>
      </c>
      <c r="T212" s="98">
        <f t="shared" si="124"/>
        <v>8.7634815462644494E-5</v>
      </c>
      <c r="U212" s="98">
        <f t="shared" si="124"/>
        <v>8.7634815462644494E-5</v>
      </c>
      <c r="V212" s="98">
        <f t="shared" si="124"/>
        <v>8.7634815462644494E-5</v>
      </c>
      <c r="W212" s="98">
        <f t="shared" si="124"/>
        <v>8.7634815462644494E-5</v>
      </c>
      <c r="X212" s="98">
        <f t="shared" si="124"/>
        <v>8.7634815462644494E-5</v>
      </c>
      <c r="Y212" s="98">
        <f t="shared" si="124"/>
        <v>8.7634815462644494E-5</v>
      </c>
      <c r="Z212" s="98">
        <f t="shared" si="124"/>
        <v>8.7634815462644494E-5</v>
      </c>
      <c r="AA212" s="98">
        <f t="shared" si="124"/>
        <v>8.7634815462644494E-5</v>
      </c>
      <c r="AB212" s="98">
        <f t="shared" si="124"/>
        <v>8.7634815462644494E-5</v>
      </c>
      <c r="AC212" s="98">
        <f t="shared" si="124"/>
        <v>8.7634815462644494E-5</v>
      </c>
    </row>
    <row r="213" spans="1:29" s="85" customFormat="1" x14ac:dyDescent="0.3">
      <c r="A213" s="31"/>
      <c r="B213" s="31"/>
      <c r="C213" s="93"/>
      <c r="D213" s="85" t="str">
        <f t="shared" si="121"/>
        <v>Reefer Power Packs, 30 plugs, single engine, Tier 3 400 HP CAT</v>
      </c>
      <c r="E213" s="85" t="str">
        <f t="shared" si="121"/>
        <v>tons/yr</v>
      </c>
      <c r="G213" s="11">
        <f t="shared" si="122"/>
        <v>1.5057254656763465E-3</v>
      </c>
      <c r="I213" s="98">
        <f>$N95*I69</f>
        <v>7.170121265125458E-5</v>
      </c>
      <c r="J213" s="98">
        <f t="shared" si="124"/>
        <v>7.170121265125458E-5</v>
      </c>
      <c r="K213" s="98">
        <f t="shared" si="124"/>
        <v>7.170121265125458E-5</v>
      </c>
      <c r="L213" s="98">
        <f t="shared" si="124"/>
        <v>7.170121265125458E-5</v>
      </c>
      <c r="M213" s="98">
        <f t="shared" si="124"/>
        <v>7.170121265125458E-5</v>
      </c>
      <c r="N213" s="98">
        <f t="shared" si="124"/>
        <v>7.170121265125458E-5</v>
      </c>
      <c r="O213" s="98">
        <f t="shared" si="124"/>
        <v>7.170121265125458E-5</v>
      </c>
      <c r="P213" s="98">
        <f t="shared" si="124"/>
        <v>7.170121265125458E-5</v>
      </c>
      <c r="Q213" s="98">
        <f t="shared" si="124"/>
        <v>7.170121265125458E-5</v>
      </c>
      <c r="R213" s="98">
        <f t="shared" si="124"/>
        <v>7.170121265125458E-5</v>
      </c>
      <c r="S213" s="98">
        <f t="shared" si="124"/>
        <v>7.170121265125458E-5</v>
      </c>
      <c r="T213" s="98">
        <f t="shared" si="124"/>
        <v>7.170121265125458E-5</v>
      </c>
      <c r="U213" s="98">
        <f t="shared" si="124"/>
        <v>7.170121265125458E-5</v>
      </c>
      <c r="V213" s="98">
        <f t="shared" si="124"/>
        <v>7.170121265125458E-5</v>
      </c>
      <c r="W213" s="98">
        <f t="shared" si="124"/>
        <v>7.170121265125458E-5</v>
      </c>
      <c r="X213" s="98">
        <f t="shared" si="124"/>
        <v>7.170121265125458E-5</v>
      </c>
      <c r="Y213" s="98">
        <f t="shared" si="124"/>
        <v>7.170121265125458E-5</v>
      </c>
      <c r="Z213" s="98">
        <f t="shared" si="124"/>
        <v>7.170121265125458E-5</v>
      </c>
      <c r="AA213" s="98">
        <f t="shared" si="124"/>
        <v>7.170121265125458E-5</v>
      </c>
      <c r="AB213" s="98">
        <f t="shared" si="124"/>
        <v>7.170121265125458E-5</v>
      </c>
      <c r="AC213" s="98">
        <f t="shared" si="124"/>
        <v>7.170121265125458E-5</v>
      </c>
    </row>
    <row r="214" spans="1:29" s="85" customFormat="1" x14ac:dyDescent="0.3">
      <c r="A214" s="31"/>
      <c r="B214" s="31"/>
      <c r="C214" s="93"/>
      <c r="D214" s="85" t="str">
        <f t="shared" si="121"/>
        <v>Nose Mount genset 1 plug, single engine, Tier 3, 32-34HP, Kubota / Carrier or Yanmar</v>
      </c>
      <c r="E214" s="85" t="str">
        <f t="shared" si="121"/>
        <v>tons/yr</v>
      </c>
      <c r="G214" s="11">
        <f t="shared" si="122"/>
        <v>1.6582497868888747E-2</v>
      </c>
      <c r="I214" s="98">
        <f>$N96*I70</f>
        <v>7.8964275566136878E-4</v>
      </c>
      <c r="J214" s="98">
        <f t="shared" si="124"/>
        <v>7.8964275566136878E-4</v>
      </c>
      <c r="K214" s="98">
        <f t="shared" si="124"/>
        <v>7.8964275566136878E-4</v>
      </c>
      <c r="L214" s="98">
        <f t="shared" si="124"/>
        <v>7.8964275566136878E-4</v>
      </c>
      <c r="M214" s="98">
        <f t="shared" si="124"/>
        <v>7.8964275566136878E-4</v>
      </c>
      <c r="N214" s="98">
        <f t="shared" si="124"/>
        <v>7.8964275566136878E-4</v>
      </c>
      <c r="O214" s="98">
        <f t="shared" si="124"/>
        <v>7.8964275566136878E-4</v>
      </c>
      <c r="P214" s="98">
        <f t="shared" si="124"/>
        <v>7.8964275566136878E-4</v>
      </c>
      <c r="Q214" s="98">
        <f t="shared" si="124"/>
        <v>7.8964275566136878E-4</v>
      </c>
      <c r="R214" s="98">
        <f t="shared" si="124"/>
        <v>7.8964275566136878E-4</v>
      </c>
      <c r="S214" s="98">
        <f t="shared" si="124"/>
        <v>7.8964275566136878E-4</v>
      </c>
      <c r="T214" s="98">
        <f t="shared" si="124"/>
        <v>7.8964275566136878E-4</v>
      </c>
      <c r="U214" s="98">
        <f t="shared" si="124"/>
        <v>7.8964275566136878E-4</v>
      </c>
      <c r="V214" s="98">
        <f t="shared" si="124"/>
        <v>7.8964275566136878E-4</v>
      </c>
      <c r="W214" s="98">
        <f t="shared" si="124"/>
        <v>7.8964275566136878E-4</v>
      </c>
      <c r="X214" s="98">
        <f t="shared" si="124"/>
        <v>7.8964275566136878E-4</v>
      </c>
      <c r="Y214" s="98">
        <f t="shared" si="124"/>
        <v>7.8964275566136878E-4</v>
      </c>
      <c r="Z214" s="98">
        <f t="shared" si="124"/>
        <v>7.8964275566136878E-4</v>
      </c>
      <c r="AA214" s="98">
        <f t="shared" si="124"/>
        <v>7.8964275566136878E-4</v>
      </c>
      <c r="AB214" s="98">
        <f t="shared" si="124"/>
        <v>7.8964275566136878E-4</v>
      </c>
      <c r="AC214" s="98">
        <f t="shared" si="124"/>
        <v>7.8964275566136878E-4</v>
      </c>
    </row>
    <row r="215" spans="1:29" s="85" customFormat="1" x14ac:dyDescent="0.3">
      <c r="A215" s="31"/>
      <c r="B215" s="31"/>
      <c r="C215" s="93"/>
      <c r="D215" s="85" t="str">
        <f t="shared" si="121"/>
        <v>Reefer, electric</v>
      </c>
      <c r="E215" s="85" t="str">
        <f t="shared" si="121"/>
        <v>tons/yr</v>
      </c>
      <c r="G215" s="11">
        <f t="shared" si="122"/>
        <v>0</v>
      </c>
      <c r="I215" s="38">
        <f t="shared" ref="I215:AC215" si="129">$N97*I71/2000</f>
        <v>0</v>
      </c>
      <c r="J215" s="38">
        <f t="shared" si="129"/>
        <v>0</v>
      </c>
      <c r="K215" s="38">
        <f t="shared" si="129"/>
        <v>0</v>
      </c>
      <c r="L215" s="38">
        <f t="shared" si="129"/>
        <v>0</v>
      </c>
      <c r="M215" s="38">
        <f t="shared" si="129"/>
        <v>0</v>
      </c>
      <c r="N215" s="38">
        <f t="shared" si="129"/>
        <v>0</v>
      </c>
      <c r="O215" s="38">
        <f t="shared" si="129"/>
        <v>0</v>
      </c>
      <c r="P215" s="38">
        <f t="shared" si="129"/>
        <v>0</v>
      </c>
      <c r="Q215" s="38">
        <f t="shared" si="129"/>
        <v>0</v>
      </c>
      <c r="R215" s="38">
        <f t="shared" si="129"/>
        <v>0</v>
      </c>
      <c r="S215" s="38">
        <f t="shared" si="129"/>
        <v>0</v>
      </c>
      <c r="T215" s="38">
        <f t="shared" si="129"/>
        <v>0</v>
      </c>
      <c r="U215" s="38">
        <f t="shared" si="129"/>
        <v>0</v>
      </c>
      <c r="V215" s="38">
        <f t="shared" si="129"/>
        <v>0</v>
      </c>
      <c r="W215" s="38">
        <f t="shared" si="129"/>
        <v>0</v>
      </c>
      <c r="X215" s="38">
        <f t="shared" si="129"/>
        <v>0</v>
      </c>
      <c r="Y215" s="38">
        <f t="shared" si="129"/>
        <v>0</v>
      </c>
      <c r="Z215" s="38">
        <f t="shared" si="129"/>
        <v>0</v>
      </c>
      <c r="AA215" s="38">
        <f t="shared" si="129"/>
        <v>0</v>
      </c>
      <c r="AB215" s="38">
        <f t="shared" si="129"/>
        <v>0</v>
      </c>
      <c r="AC215" s="38">
        <f t="shared" si="129"/>
        <v>0</v>
      </c>
    </row>
    <row r="216" spans="1:29" s="30" customFormat="1" x14ac:dyDescent="0.3">
      <c r="A216" s="31"/>
      <c r="B216" s="31"/>
      <c r="C216" s="93"/>
      <c r="D216" s="31" t="str">
        <f t="shared" si="121"/>
        <v>TOTAL</v>
      </c>
      <c r="E216" s="85" t="str">
        <f t="shared" si="121"/>
        <v>tons/yr</v>
      </c>
      <c r="G216" s="72">
        <f t="shared" si="122"/>
        <v>1.6026398565684934</v>
      </c>
      <c r="I216" s="75">
        <f t="shared" ref="I216:AC216" si="130">SUM(I202:I215)</f>
        <v>0.15550636783675714</v>
      </c>
      <c r="J216" s="75">
        <f t="shared" si="130"/>
        <v>0.15550636783675714</v>
      </c>
      <c r="K216" s="75">
        <f t="shared" si="130"/>
        <v>0.15550636783675714</v>
      </c>
      <c r="L216" s="75">
        <f t="shared" si="130"/>
        <v>0.12955721676664345</v>
      </c>
      <c r="M216" s="75">
        <f t="shared" si="130"/>
        <v>0.10360808400080446</v>
      </c>
      <c r="N216" s="75">
        <f t="shared" si="130"/>
        <v>7.765828207101208E-2</v>
      </c>
      <c r="O216" s="75">
        <f t="shared" si="130"/>
        <v>5.1706680361891397E-2</v>
      </c>
      <c r="P216" s="75">
        <f t="shared" si="130"/>
        <v>5.4946970671770776E-2</v>
      </c>
      <c r="Q216" s="75">
        <f t="shared" si="130"/>
        <v>5.5025713578517967E-2</v>
      </c>
      <c r="R216" s="75">
        <f t="shared" si="130"/>
        <v>5.5104456485265137E-2</v>
      </c>
      <c r="S216" s="75">
        <f t="shared" si="130"/>
        <v>5.5183458174828698E-2</v>
      </c>
      <c r="T216" s="75">
        <f t="shared" si="130"/>
        <v>5.5261931253986256E-2</v>
      </c>
      <c r="U216" s="75">
        <f t="shared" si="130"/>
        <v>5.5340884410389105E-2</v>
      </c>
      <c r="V216" s="75">
        <f t="shared" si="130"/>
        <v>5.5340884410389105E-2</v>
      </c>
      <c r="W216" s="75">
        <f t="shared" si="130"/>
        <v>5.5340884410389105E-2</v>
      </c>
      <c r="X216" s="75">
        <f t="shared" si="130"/>
        <v>5.5340884410389105E-2</v>
      </c>
      <c r="Y216" s="75">
        <f t="shared" si="130"/>
        <v>5.5340884410389105E-2</v>
      </c>
      <c r="Z216" s="75">
        <f t="shared" si="130"/>
        <v>5.5340884410389105E-2</v>
      </c>
      <c r="AA216" s="75">
        <f t="shared" si="130"/>
        <v>5.5340884410389105E-2</v>
      </c>
      <c r="AB216" s="75">
        <f t="shared" si="130"/>
        <v>5.5340884410389105E-2</v>
      </c>
      <c r="AC216" s="75">
        <f t="shared" si="130"/>
        <v>5.5340884410389105E-2</v>
      </c>
    </row>
    <row r="217" spans="1:29" s="30" customFormat="1" x14ac:dyDescent="0.3">
      <c r="A217" s="31"/>
      <c r="B217" s="31"/>
      <c r="C217" s="31"/>
      <c r="D217" s="85"/>
      <c r="G217" s="7"/>
    </row>
    <row r="218" spans="1:29" s="85" customFormat="1" x14ac:dyDescent="0.3">
      <c r="A218" s="31"/>
      <c r="B218" s="31"/>
      <c r="C218" s="93" t="s">
        <v>377</v>
      </c>
      <c r="D218" s="31" t="s">
        <v>367</v>
      </c>
      <c r="G218" s="87"/>
    </row>
    <row r="219" spans="1:29" s="85" customFormat="1" x14ac:dyDescent="0.3">
      <c r="A219" s="31"/>
      <c r="B219" s="31"/>
      <c r="C219" s="93"/>
      <c r="D219" s="85" t="str">
        <f>D202</f>
        <v>Top Pick</v>
      </c>
      <c r="E219" s="85" t="s">
        <v>366</v>
      </c>
      <c r="G219" s="11">
        <f t="shared" ref="G219:G233" si="131">SUM(I219:AC219)</f>
        <v>74153.52671999998</v>
      </c>
      <c r="I219" s="38">
        <f>I58*'7_PARAMS'!$D$27</f>
        <v>3329.3420159999996</v>
      </c>
      <c r="J219" s="38">
        <f>J58*'7_PARAMS'!$D$27</f>
        <v>3329.3420159999996</v>
      </c>
      <c r="K219" s="38">
        <f>K58*'7_PARAMS'!$D$27</f>
        <v>3329.3420159999996</v>
      </c>
      <c r="L219" s="38">
        <f>L58*'7_PARAMS'!$D$27</f>
        <v>3329.3420159999996</v>
      </c>
      <c r="M219" s="38">
        <f>M58*'7_PARAMS'!$D$27</f>
        <v>3329.3420159999996</v>
      </c>
      <c r="N219" s="38">
        <f>N58*'7_PARAMS'!$D$27</f>
        <v>3329.3420159999996</v>
      </c>
      <c r="O219" s="38">
        <f>O58*'7_PARAMS'!$D$27</f>
        <v>3329.3420159999996</v>
      </c>
      <c r="P219" s="38">
        <f>P58*'7_PARAMS'!$D$27</f>
        <v>3632.0094719999997</v>
      </c>
      <c r="Q219" s="38">
        <f>Q58*'7_PARAMS'!$D$27</f>
        <v>3632.0094719999997</v>
      </c>
      <c r="R219" s="38">
        <f>R58*'7_PARAMS'!$D$27</f>
        <v>3632.0094719999997</v>
      </c>
      <c r="S219" s="38">
        <f>S58*'7_PARAMS'!$D$27</f>
        <v>3632.0094719999997</v>
      </c>
      <c r="T219" s="38">
        <f>T58*'7_PARAMS'!$D$27</f>
        <v>3632.0094719999997</v>
      </c>
      <c r="U219" s="38">
        <f>U58*'7_PARAMS'!$D$27</f>
        <v>3632.0094719999997</v>
      </c>
      <c r="V219" s="38">
        <f>V58*'7_PARAMS'!$D$27</f>
        <v>3632.0094719999997</v>
      </c>
      <c r="W219" s="38">
        <f>W58*'7_PARAMS'!$D$27</f>
        <v>3632.0094719999997</v>
      </c>
      <c r="X219" s="38">
        <f>X58*'7_PARAMS'!$D$27</f>
        <v>3632.0094719999997</v>
      </c>
      <c r="Y219" s="38">
        <f>Y58*'7_PARAMS'!$D$27</f>
        <v>3632.0094719999997</v>
      </c>
      <c r="Z219" s="38">
        <f>Z58*'7_PARAMS'!$D$27</f>
        <v>3632.0094719999997</v>
      </c>
      <c r="AA219" s="38">
        <f>AA58*'7_PARAMS'!$D$27</f>
        <v>3632.0094719999997</v>
      </c>
      <c r="AB219" s="38">
        <f>AB58*'7_PARAMS'!$D$27</f>
        <v>3632.0094719999997</v>
      </c>
      <c r="AC219" s="38">
        <f>AC58*'7_PARAMS'!$D$27</f>
        <v>3632.0094719999997</v>
      </c>
    </row>
    <row r="220" spans="1:29" s="85" customFormat="1" x14ac:dyDescent="0.3">
      <c r="A220" s="31"/>
      <c r="B220" s="31"/>
      <c r="C220" s="93"/>
      <c r="D220" s="85" t="str">
        <f t="shared" ref="D220:D233" si="132">D203</f>
        <v>RTGs, Hybrid</v>
      </c>
      <c r="E220" s="85" t="s">
        <v>366</v>
      </c>
      <c r="G220" s="11">
        <f t="shared" si="131"/>
        <v>0</v>
      </c>
      <c r="I220" s="38">
        <f>I59*'7_PARAMS'!$D$27</f>
        <v>0</v>
      </c>
      <c r="J220" s="38">
        <f>J59*'7_PARAMS'!$D$27</f>
        <v>0</v>
      </c>
      <c r="K220" s="38">
        <f>K59*'7_PARAMS'!$D$27</f>
        <v>0</v>
      </c>
      <c r="L220" s="38">
        <f>L59*'7_PARAMS'!$D$27</f>
        <v>0</v>
      </c>
      <c r="M220" s="38">
        <f>M59*'7_PARAMS'!$D$27</f>
        <v>0</v>
      </c>
      <c r="N220" s="38">
        <f>N59*'7_PARAMS'!$D$27</f>
        <v>0</v>
      </c>
      <c r="O220" s="38">
        <f>O59*'7_PARAMS'!$D$27</f>
        <v>0</v>
      </c>
      <c r="P220" s="38">
        <f>P59*'7_PARAMS'!$D$27</f>
        <v>0</v>
      </c>
      <c r="Q220" s="38">
        <f>Q59*'7_PARAMS'!$D$27</f>
        <v>0</v>
      </c>
      <c r="R220" s="38">
        <f>R59*'7_PARAMS'!$D$27</f>
        <v>0</v>
      </c>
      <c r="S220" s="38">
        <f>S59*'7_PARAMS'!$D$27</f>
        <v>0</v>
      </c>
      <c r="T220" s="38">
        <f>T59*'7_PARAMS'!$D$27</f>
        <v>0</v>
      </c>
      <c r="U220" s="38">
        <f>U59*'7_PARAMS'!$D$27</f>
        <v>0</v>
      </c>
      <c r="V220" s="38">
        <f>V59*'7_PARAMS'!$D$27</f>
        <v>0</v>
      </c>
      <c r="W220" s="38">
        <f>W59*'7_PARAMS'!$D$27</f>
        <v>0</v>
      </c>
      <c r="X220" s="38">
        <f>X59*'7_PARAMS'!$D$27</f>
        <v>0</v>
      </c>
      <c r="Y220" s="38">
        <f>Y59*'7_PARAMS'!$D$27</f>
        <v>0</v>
      </c>
      <c r="Z220" s="38">
        <f>Z59*'7_PARAMS'!$D$27</f>
        <v>0</v>
      </c>
      <c r="AA220" s="38">
        <f>AA59*'7_PARAMS'!$D$27</f>
        <v>0</v>
      </c>
      <c r="AB220" s="38">
        <f>AB59*'7_PARAMS'!$D$27</f>
        <v>0</v>
      </c>
      <c r="AC220" s="38">
        <f>AC59*'7_PARAMS'!$D$27</f>
        <v>0</v>
      </c>
    </row>
    <row r="221" spans="1:29" s="85" customFormat="1" x14ac:dyDescent="0.3">
      <c r="A221" s="31"/>
      <c r="B221" s="31"/>
      <c r="C221" s="93"/>
      <c r="D221" s="85" t="str">
        <f t="shared" si="132"/>
        <v>Forklift, 10000 lb, Diesel</v>
      </c>
      <c r="E221" s="85" t="s">
        <v>366</v>
      </c>
      <c r="G221" s="11">
        <f t="shared" si="131"/>
        <v>4673.5415999999996</v>
      </c>
      <c r="I221" s="38">
        <f>I60*'7_PARAMS'!$D$27</f>
        <v>222.5496</v>
      </c>
      <c r="J221" s="38">
        <f>J60*'7_PARAMS'!$D$27</f>
        <v>222.5496</v>
      </c>
      <c r="K221" s="38">
        <f>K60*'7_PARAMS'!$D$27</f>
        <v>222.5496</v>
      </c>
      <c r="L221" s="38">
        <f>L60*'7_PARAMS'!$D$27</f>
        <v>222.5496</v>
      </c>
      <c r="M221" s="38">
        <f>M60*'7_PARAMS'!$D$27</f>
        <v>222.5496</v>
      </c>
      <c r="N221" s="38">
        <f>N60*'7_PARAMS'!$D$27</f>
        <v>222.5496</v>
      </c>
      <c r="O221" s="38">
        <f>O60*'7_PARAMS'!$D$27</f>
        <v>222.5496</v>
      </c>
      <c r="P221" s="38">
        <f>P60*'7_PARAMS'!$D$27</f>
        <v>222.5496</v>
      </c>
      <c r="Q221" s="38">
        <f>Q60*'7_PARAMS'!$D$27</f>
        <v>222.5496</v>
      </c>
      <c r="R221" s="38">
        <f>R60*'7_PARAMS'!$D$27</f>
        <v>222.5496</v>
      </c>
      <c r="S221" s="38">
        <f>S60*'7_PARAMS'!$D$27</f>
        <v>222.5496</v>
      </c>
      <c r="T221" s="38">
        <f>T60*'7_PARAMS'!$D$27</f>
        <v>222.5496</v>
      </c>
      <c r="U221" s="38">
        <f>U60*'7_PARAMS'!$D$27</f>
        <v>222.5496</v>
      </c>
      <c r="V221" s="38">
        <f>V60*'7_PARAMS'!$D$27</f>
        <v>222.5496</v>
      </c>
      <c r="W221" s="38">
        <f>W60*'7_PARAMS'!$D$27</f>
        <v>222.5496</v>
      </c>
      <c r="X221" s="38">
        <f>X60*'7_PARAMS'!$D$27</f>
        <v>222.5496</v>
      </c>
      <c r="Y221" s="38">
        <f>Y60*'7_PARAMS'!$D$27</f>
        <v>222.5496</v>
      </c>
      <c r="Z221" s="38">
        <f>Z60*'7_PARAMS'!$D$27</f>
        <v>222.5496</v>
      </c>
      <c r="AA221" s="38">
        <f>AA60*'7_PARAMS'!$D$27</f>
        <v>222.5496</v>
      </c>
      <c r="AB221" s="38">
        <f>AB60*'7_PARAMS'!$D$27</f>
        <v>222.5496</v>
      </c>
      <c r="AC221" s="38">
        <f>AC60*'7_PARAMS'!$D$27</f>
        <v>222.5496</v>
      </c>
    </row>
    <row r="222" spans="1:29" s="85" customFormat="1" x14ac:dyDescent="0.3">
      <c r="A222" s="31"/>
      <c r="B222" s="31"/>
      <c r="C222" s="93"/>
      <c r="D222" s="85" t="str">
        <f t="shared" si="132"/>
        <v>Forklift, 10000 lb, electric</v>
      </c>
      <c r="E222" s="85" t="s">
        <v>366</v>
      </c>
      <c r="G222" s="11">
        <f t="shared" si="131"/>
        <v>0</v>
      </c>
      <c r="I222" s="38">
        <v>0</v>
      </c>
      <c r="J222" s="38">
        <v>0</v>
      </c>
      <c r="K222" s="38">
        <v>0</v>
      </c>
      <c r="L222" s="38">
        <v>0</v>
      </c>
      <c r="M222" s="38">
        <v>0</v>
      </c>
      <c r="N222" s="38">
        <v>0</v>
      </c>
      <c r="O222" s="38">
        <v>0</v>
      </c>
      <c r="P222" s="38">
        <v>0</v>
      </c>
      <c r="Q222" s="38">
        <v>0</v>
      </c>
      <c r="R222" s="38">
        <v>0</v>
      </c>
      <c r="S222" s="38">
        <v>0</v>
      </c>
      <c r="T222" s="38">
        <v>0</v>
      </c>
      <c r="U222" s="38">
        <v>0</v>
      </c>
      <c r="V222" s="38">
        <v>0</v>
      </c>
      <c r="W222" s="38">
        <v>0</v>
      </c>
      <c r="X222" s="38">
        <v>0</v>
      </c>
      <c r="Y222" s="38">
        <v>0</v>
      </c>
      <c r="Z222" s="38">
        <v>0</v>
      </c>
      <c r="AA222" s="38">
        <v>0</v>
      </c>
      <c r="AB222" s="38">
        <v>0</v>
      </c>
      <c r="AC222" s="38">
        <v>0</v>
      </c>
    </row>
    <row r="223" spans="1:29" s="85" customFormat="1" x14ac:dyDescent="0.3">
      <c r="A223" s="31"/>
      <c r="B223" s="31"/>
      <c r="C223" s="93"/>
      <c r="D223" s="85" t="str">
        <f t="shared" si="132"/>
        <v>Forklift, 18000 lb, Diesel</v>
      </c>
      <c r="E223" s="85" t="s">
        <v>366</v>
      </c>
      <c r="G223" s="11">
        <f t="shared" si="131"/>
        <v>7789.235999999999</v>
      </c>
      <c r="I223" s="38">
        <f>I62*'7_PARAMS'!$D$27</f>
        <v>370.91599999999988</v>
      </c>
      <c r="J223" s="38">
        <f>J62*'7_PARAMS'!$D$27</f>
        <v>370.91599999999988</v>
      </c>
      <c r="K223" s="38">
        <f>K62*'7_PARAMS'!$D$27</f>
        <v>370.91599999999988</v>
      </c>
      <c r="L223" s="38">
        <f>L62*'7_PARAMS'!$D$27</f>
        <v>370.91599999999988</v>
      </c>
      <c r="M223" s="38">
        <f>M62*'7_PARAMS'!$D$27</f>
        <v>370.91599999999988</v>
      </c>
      <c r="N223" s="38">
        <f>N62*'7_PARAMS'!$D$27</f>
        <v>370.91599999999988</v>
      </c>
      <c r="O223" s="38">
        <f>O62*'7_PARAMS'!$D$27</f>
        <v>370.91599999999988</v>
      </c>
      <c r="P223" s="38">
        <f>P62*'7_PARAMS'!$D$27</f>
        <v>370.91599999999988</v>
      </c>
      <c r="Q223" s="38">
        <f>Q62*'7_PARAMS'!$D$27</f>
        <v>370.91599999999988</v>
      </c>
      <c r="R223" s="38">
        <f>R62*'7_PARAMS'!$D$27</f>
        <v>370.91599999999988</v>
      </c>
      <c r="S223" s="38">
        <f>S62*'7_PARAMS'!$D$27</f>
        <v>370.91599999999988</v>
      </c>
      <c r="T223" s="38">
        <f>T62*'7_PARAMS'!$D$27</f>
        <v>370.91599999999988</v>
      </c>
      <c r="U223" s="38">
        <f>U62*'7_PARAMS'!$D$27</f>
        <v>370.91599999999988</v>
      </c>
      <c r="V223" s="38">
        <f>V62*'7_PARAMS'!$D$27</f>
        <v>370.91599999999988</v>
      </c>
      <c r="W223" s="38">
        <f>W62*'7_PARAMS'!$D$27</f>
        <v>370.91599999999988</v>
      </c>
      <c r="X223" s="38">
        <f>X62*'7_PARAMS'!$D$27</f>
        <v>370.91599999999988</v>
      </c>
      <c r="Y223" s="38">
        <f>Y62*'7_PARAMS'!$D$27</f>
        <v>370.91599999999988</v>
      </c>
      <c r="Z223" s="38">
        <f>Z62*'7_PARAMS'!$D$27</f>
        <v>370.91599999999988</v>
      </c>
      <c r="AA223" s="38">
        <f>AA62*'7_PARAMS'!$D$27</f>
        <v>370.91599999999988</v>
      </c>
      <c r="AB223" s="38">
        <f>AB62*'7_PARAMS'!$D$27</f>
        <v>370.91599999999988</v>
      </c>
      <c r="AC223" s="38">
        <f>AC62*'7_PARAMS'!$D$27</f>
        <v>370.91599999999988</v>
      </c>
    </row>
    <row r="224" spans="1:29" s="85" customFormat="1" x14ac:dyDescent="0.3">
      <c r="A224" s="31"/>
      <c r="B224" s="31"/>
      <c r="C224" s="93"/>
      <c r="D224" s="85" t="str">
        <f t="shared" si="132"/>
        <v>Forklift, 18000 lb, electric</v>
      </c>
      <c r="E224" s="85" t="s">
        <v>366</v>
      </c>
      <c r="G224" s="11">
        <f t="shared" si="131"/>
        <v>0</v>
      </c>
      <c r="I224" s="38">
        <v>0</v>
      </c>
      <c r="J224" s="38">
        <v>0</v>
      </c>
      <c r="K224" s="38">
        <v>0</v>
      </c>
      <c r="L224" s="38">
        <v>0</v>
      </c>
      <c r="M224" s="38">
        <v>0</v>
      </c>
      <c r="N224" s="38">
        <v>0</v>
      </c>
      <c r="O224" s="38">
        <v>0</v>
      </c>
      <c r="P224" s="38">
        <v>0</v>
      </c>
      <c r="Q224" s="38">
        <v>0</v>
      </c>
      <c r="R224" s="38">
        <v>0</v>
      </c>
      <c r="S224" s="38">
        <v>0</v>
      </c>
      <c r="T224" s="38">
        <v>0</v>
      </c>
      <c r="U224" s="38">
        <v>0</v>
      </c>
      <c r="V224" s="38">
        <v>0</v>
      </c>
      <c r="W224" s="38">
        <v>0</v>
      </c>
      <c r="X224" s="38">
        <v>0</v>
      </c>
      <c r="Y224" s="38">
        <v>0</v>
      </c>
      <c r="Z224" s="38">
        <v>0</v>
      </c>
      <c r="AA224" s="38">
        <v>0</v>
      </c>
      <c r="AB224" s="38">
        <v>0</v>
      </c>
      <c r="AC224" s="38">
        <v>0</v>
      </c>
    </row>
    <row r="225" spans="1:29" s="85" customFormat="1" x14ac:dyDescent="0.3">
      <c r="A225" s="31"/>
      <c r="B225" s="31"/>
      <c r="C225" s="93"/>
      <c r="D225" s="85" t="str">
        <f t="shared" si="132"/>
        <v>Forklift, 36000 lb, diesel</v>
      </c>
      <c r="E225" s="85" t="s">
        <v>366</v>
      </c>
      <c r="G225" s="11">
        <f t="shared" si="131"/>
        <v>9035.5137599999998</v>
      </c>
      <c r="I225" s="38">
        <f>I64*'7_PARAMS'!$D$27</f>
        <v>430.26255999999995</v>
      </c>
      <c r="J225" s="38">
        <f>J64*'7_PARAMS'!$D$27</f>
        <v>430.26255999999995</v>
      </c>
      <c r="K225" s="38">
        <f>K64*'7_PARAMS'!$D$27</f>
        <v>430.26255999999995</v>
      </c>
      <c r="L225" s="38">
        <f>L64*'7_PARAMS'!$D$27</f>
        <v>430.26255999999995</v>
      </c>
      <c r="M225" s="38">
        <f>M64*'7_PARAMS'!$D$27</f>
        <v>430.26255999999995</v>
      </c>
      <c r="N225" s="38">
        <f>N64*'7_PARAMS'!$D$27</f>
        <v>430.26255999999995</v>
      </c>
      <c r="O225" s="38">
        <f>O64*'7_PARAMS'!$D$27</f>
        <v>430.26255999999995</v>
      </c>
      <c r="P225" s="38">
        <f>P64*'7_PARAMS'!$D$27</f>
        <v>430.26255999999995</v>
      </c>
      <c r="Q225" s="38">
        <f>Q64*'7_PARAMS'!$D$27</f>
        <v>430.26255999999995</v>
      </c>
      <c r="R225" s="38">
        <f>R64*'7_PARAMS'!$D$27</f>
        <v>430.26255999999995</v>
      </c>
      <c r="S225" s="38">
        <f>S64*'7_PARAMS'!$D$27</f>
        <v>430.26255999999995</v>
      </c>
      <c r="T225" s="38">
        <f>T64*'7_PARAMS'!$D$27</f>
        <v>430.26255999999995</v>
      </c>
      <c r="U225" s="38">
        <f>U64*'7_PARAMS'!$D$27</f>
        <v>430.26255999999995</v>
      </c>
      <c r="V225" s="38">
        <f>V64*'7_PARAMS'!$D$27</f>
        <v>430.26255999999995</v>
      </c>
      <c r="W225" s="38">
        <f>W64*'7_PARAMS'!$D$27</f>
        <v>430.26255999999995</v>
      </c>
      <c r="X225" s="38">
        <f>X64*'7_PARAMS'!$D$27</f>
        <v>430.26255999999995</v>
      </c>
      <c r="Y225" s="38">
        <f>Y64*'7_PARAMS'!$D$27</f>
        <v>430.26255999999995</v>
      </c>
      <c r="Z225" s="38">
        <f>Z64*'7_PARAMS'!$D$27</f>
        <v>430.26255999999995</v>
      </c>
      <c r="AA225" s="38">
        <f>AA64*'7_PARAMS'!$D$27</f>
        <v>430.26255999999995</v>
      </c>
      <c r="AB225" s="38">
        <f>AB64*'7_PARAMS'!$D$27</f>
        <v>430.26255999999995</v>
      </c>
      <c r="AC225" s="38">
        <f>AC64*'7_PARAMS'!$D$27</f>
        <v>430.26255999999995</v>
      </c>
    </row>
    <row r="226" spans="1:29" s="85" customFormat="1" x14ac:dyDescent="0.3">
      <c r="A226" s="31"/>
      <c r="B226" s="31"/>
      <c r="C226" s="93"/>
      <c r="D226" s="85" t="str">
        <f t="shared" si="132"/>
        <v>Forklift, 36000 lb, electric</v>
      </c>
      <c r="E226" s="85" t="s">
        <v>366</v>
      </c>
      <c r="G226" s="11">
        <f t="shared" si="131"/>
        <v>0</v>
      </c>
      <c r="I226" s="38">
        <v>0</v>
      </c>
      <c r="J226" s="38">
        <v>0</v>
      </c>
      <c r="K226" s="38">
        <v>0</v>
      </c>
      <c r="L226" s="38">
        <v>0</v>
      </c>
      <c r="M226" s="38">
        <v>0</v>
      </c>
      <c r="N226" s="38">
        <v>0</v>
      </c>
      <c r="O226" s="38">
        <v>0</v>
      </c>
      <c r="P226" s="38">
        <v>0</v>
      </c>
      <c r="Q226" s="38">
        <v>0</v>
      </c>
      <c r="R226" s="38">
        <v>0</v>
      </c>
      <c r="S226" s="38">
        <v>0</v>
      </c>
      <c r="T226" s="38">
        <v>0</v>
      </c>
      <c r="U226" s="38">
        <v>0</v>
      </c>
      <c r="V226" s="38">
        <v>0</v>
      </c>
      <c r="W226" s="38">
        <v>0</v>
      </c>
      <c r="X226" s="38">
        <v>0</v>
      </c>
      <c r="Y226" s="38">
        <v>0</v>
      </c>
      <c r="Z226" s="38">
        <v>0</v>
      </c>
      <c r="AA226" s="38">
        <v>0</v>
      </c>
      <c r="AB226" s="38">
        <v>0</v>
      </c>
      <c r="AC226" s="38">
        <v>0</v>
      </c>
    </row>
    <row r="227" spans="1:29" s="85" customFormat="1" x14ac:dyDescent="0.3">
      <c r="A227" s="31"/>
      <c r="B227" s="31"/>
      <c r="C227" s="93"/>
      <c r="D227" s="85" t="str">
        <f t="shared" si="132"/>
        <v>Yard Tractor, Diesel</v>
      </c>
      <c r="E227" s="85" t="s">
        <v>366</v>
      </c>
      <c r="G227" s="11">
        <f t="shared" si="131"/>
        <v>12462.777599999994</v>
      </c>
      <c r="I227" s="38">
        <f>I66*'7_PARAMS'!$D$27</f>
        <v>593.46559999999999</v>
      </c>
      <c r="J227" s="38">
        <f>J66*'7_PARAMS'!$D$27</f>
        <v>593.46559999999999</v>
      </c>
      <c r="K227" s="38">
        <f>K66*'7_PARAMS'!$D$27</f>
        <v>593.46559999999999</v>
      </c>
      <c r="L227" s="38">
        <f>L66*'7_PARAMS'!$D$27</f>
        <v>593.46559999999999</v>
      </c>
      <c r="M227" s="38">
        <f>M66*'7_PARAMS'!$D$27</f>
        <v>593.46559999999999</v>
      </c>
      <c r="N227" s="38">
        <f>N66*'7_PARAMS'!$D$27</f>
        <v>593.46559999999999</v>
      </c>
      <c r="O227" s="38">
        <f>O66*'7_PARAMS'!$D$27</f>
        <v>593.46559999999999</v>
      </c>
      <c r="P227" s="38">
        <f>P66*'7_PARAMS'!$D$27</f>
        <v>593.46559999999999</v>
      </c>
      <c r="Q227" s="38">
        <f>Q66*'7_PARAMS'!$D$27</f>
        <v>593.46559999999999</v>
      </c>
      <c r="R227" s="38">
        <f>R66*'7_PARAMS'!$D$27</f>
        <v>593.46559999999999</v>
      </c>
      <c r="S227" s="38">
        <f>S66*'7_PARAMS'!$D$27</f>
        <v>593.46559999999999</v>
      </c>
      <c r="T227" s="38">
        <f>T66*'7_PARAMS'!$D$27</f>
        <v>593.46559999999999</v>
      </c>
      <c r="U227" s="38">
        <f>U66*'7_PARAMS'!$D$27</f>
        <v>593.46559999999999</v>
      </c>
      <c r="V227" s="38">
        <f>V66*'7_PARAMS'!$D$27</f>
        <v>593.46559999999999</v>
      </c>
      <c r="W227" s="38">
        <f>W66*'7_PARAMS'!$D$27</f>
        <v>593.46559999999999</v>
      </c>
      <c r="X227" s="38">
        <f>X66*'7_PARAMS'!$D$27</f>
        <v>593.46559999999999</v>
      </c>
      <c r="Y227" s="38">
        <f>Y66*'7_PARAMS'!$D$27</f>
        <v>593.46559999999999</v>
      </c>
      <c r="Z227" s="38">
        <f>Z66*'7_PARAMS'!$D$27</f>
        <v>593.46559999999999</v>
      </c>
      <c r="AA227" s="38">
        <f>AA66*'7_PARAMS'!$D$27</f>
        <v>593.46559999999999</v>
      </c>
      <c r="AB227" s="38">
        <f>AB66*'7_PARAMS'!$D$27</f>
        <v>593.46559999999999</v>
      </c>
      <c r="AC227" s="38">
        <f>AC66*'7_PARAMS'!$D$27</f>
        <v>593.46559999999999</v>
      </c>
    </row>
    <row r="228" spans="1:29" s="85" customFormat="1" x14ac:dyDescent="0.3">
      <c r="A228" s="31"/>
      <c r="B228" s="31"/>
      <c r="C228" s="93"/>
      <c r="D228" s="85" t="str">
        <f t="shared" si="132"/>
        <v>Yard Tractor, electric</v>
      </c>
      <c r="E228" s="85" t="s">
        <v>366</v>
      </c>
      <c r="G228" s="11">
        <f t="shared" si="131"/>
        <v>0</v>
      </c>
      <c r="I228" s="38">
        <v>0</v>
      </c>
      <c r="J228" s="38">
        <v>0</v>
      </c>
      <c r="K228" s="38">
        <v>0</v>
      </c>
      <c r="L228" s="38">
        <v>0</v>
      </c>
      <c r="M228" s="38">
        <v>0</v>
      </c>
      <c r="N228" s="38">
        <v>0</v>
      </c>
      <c r="O228" s="38">
        <v>0</v>
      </c>
      <c r="P228" s="38">
        <v>0</v>
      </c>
      <c r="Q228" s="38">
        <v>0</v>
      </c>
      <c r="R228" s="38">
        <v>0</v>
      </c>
      <c r="S228" s="38">
        <v>0</v>
      </c>
      <c r="T228" s="38">
        <v>0</v>
      </c>
      <c r="U228" s="38">
        <v>0</v>
      </c>
      <c r="V228" s="38">
        <v>0</v>
      </c>
      <c r="W228" s="38">
        <v>0</v>
      </c>
      <c r="X228" s="38">
        <v>0</v>
      </c>
      <c r="Y228" s="38">
        <v>0</v>
      </c>
      <c r="Z228" s="38">
        <v>0</v>
      </c>
      <c r="AA228" s="38">
        <v>0</v>
      </c>
      <c r="AB228" s="38">
        <v>0</v>
      </c>
      <c r="AC228" s="38">
        <v>0</v>
      </c>
    </row>
    <row r="229" spans="1:29" s="85" customFormat="1" x14ac:dyDescent="0.3">
      <c r="A229" s="31"/>
      <c r="B229" s="31"/>
      <c r="C229" s="93"/>
      <c r="D229" s="85" t="str">
        <f t="shared" si="132"/>
        <v>Reefer Power Packs, 30 plugs, dual engine, Tier 3, 400 HP CAT</v>
      </c>
      <c r="E229" s="85" t="s">
        <v>366</v>
      </c>
      <c r="G229" s="11">
        <f t="shared" si="131"/>
        <v>7598.4981534000017</v>
      </c>
      <c r="I229" s="38">
        <f>I68*'7_PARAMS'!$D$27</f>
        <v>361.83324540000001</v>
      </c>
      <c r="J229" s="38">
        <f>J68*'7_PARAMS'!$D$27</f>
        <v>361.83324540000001</v>
      </c>
      <c r="K229" s="38">
        <f>K68*'7_PARAMS'!$D$27</f>
        <v>361.83324540000001</v>
      </c>
      <c r="L229" s="38">
        <f>L68*'7_PARAMS'!$D$27</f>
        <v>361.83324540000001</v>
      </c>
      <c r="M229" s="38">
        <f>M68*'7_PARAMS'!$D$27</f>
        <v>361.83324540000001</v>
      </c>
      <c r="N229" s="38">
        <f>N68*'7_PARAMS'!$D$27</f>
        <v>361.83324540000001</v>
      </c>
      <c r="O229" s="38">
        <f>O68*'7_PARAMS'!$D$27</f>
        <v>361.83324540000001</v>
      </c>
      <c r="P229" s="38">
        <f>P68*'7_PARAMS'!$D$27</f>
        <v>361.83324540000001</v>
      </c>
      <c r="Q229" s="38">
        <f>Q68*'7_PARAMS'!$D$27</f>
        <v>361.83324540000001</v>
      </c>
      <c r="R229" s="38">
        <f>R68*'7_PARAMS'!$D$27</f>
        <v>361.83324540000001</v>
      </c>
      <c r="S229" s="38">
        <f>S68*'7_PARAMS'!$D$27</f>
        <v>361.83324540000001</v>
      </c>
      <c r="T229" s="38">
        <f>T68*'7_PARAMS'!$D$27</f>
        <v>361.83324540000001</v>
      </c>
      <c r="U229" s="38">
        <f>U68*'7_PARAMS'!$D$27</f>
        <v>361.83324540000001</v>
      </c>
      <c r="V229" s="38">
        <f>V68*'7_PARAMS'!$D$27</f>
        <v>361.83324540000001</v>
      </c>
      <c r="W229" s="38">
        <f>W68*'7_PARAMS'!$D$27</f>
        <v>361.83324540000001</v>
      </c>
      <c r="X229" s="38">
        <f>X68*'7_PARAMS'!$D$27</f>
        <v>361.83324540000001</v>
      </c>
      <c r="Y229" s="38">
        <f>Y68*'7_PARAMS'!$D$27</f>
        <v>361.83324540000001</v>
      </c>
      <c r="Z229" s="38">
        <f>Z68*'7_PARAMS'!$D$27</f>
        <v>361.83324540000001</v>
      </c>
      <c r="AA229" s="38">
        <f>AA68*'7_PARAMS'!$D$27</f>
        <v>361.83324540000001</v>
      </c>
      <c r="AB229" s="38">
        <f>AB68*'7_PARAMS'!$D$27</f>
        <v>361.83324540000001</v>
      </c>
      <c r="AC229" s="38">
        <f>AC68*'7_PARAMS'!$D$27</f>
        <v>361.83324540000001</v>
      </c>
    </row>
    <row r="230" spans="1:29" s="85" customFormat="1" x14ac:dyDescent="0.3">
      <c r="A230" s="31"/>
      <c r="B230" s="31"/>
      <c r="C230" s="93"/>
      <c r="D230" s="85" t="str">
        <f t="shared" si="132"/>
        <v>Reefer Power Packs, 30 plugs, single engine, Tier 3 400 HP CAT</v>
      </c>
      <c r="E230" s="85" t="s">
        <v>366</v>
      </c>
      <c r="G230" s="11">
        <f t="shared" si="131"/>
        <v>6216.953034600001</v>
      </c>
      <c r="I230" s="38">
        <f>I69*'7_PARAMS'!$D$27</f>
        <v>296.04538259999998</v>
      </c>
      <c r="J230" s="38">
        <f>J69*'7_PARAMS'!$D$27</f>
        <v>296.04538259999998</v>
      </c>
      <c r="K230" s="38">
        <f>K69*'7_PARAMS'!$D$27</f>
        <v>296.04538259999998</v>
      </c>
      <c r="L230" s="38">
        <f>L69*'7_PARAMS'!$D$27</f>
        <v>296.04538259999998</v>
      </c>
      <c r="M230" s="38">
        <f>M69*'7_PARAMS'!$D$27</f>
        <v>296.04538259999998</v>
      </c>
      <c r="N230" s="38">
        <f>N69*'7_PARAMS'!$D$27</f>
        <v>296.04538259999998</v>
      </c>
      <c r="O230" s="38">
        <f>O69*'7_PARAMS'!$D$27</f>
        <v>296.04538259999998</v>
      </c>
      <c r="P230" s="38">
        <f>P69*'7_PARAMS'!$D$27</f>
        <v>296.04538259999998</v>
      </c>
      <c r="Q230" s="38">
        <f>Q69*'7_PARAMS'!$D$27</f>
        <v>296.04538259999998</v>
      </c>
      <c r="R230" s="38">
        <f>R69*'7_PARAMS'!$D$27</f>
        <v>296.04538259999998</v>
      </c>
      <c r="S230" s="38">
        <f>S69*'7_PARAMS'!$D$27</f>
        <v>296.04538259999998</v>
      </c>
      <c r="T230" s="38">
        <f>T69*'7_PARAMS'!$D$27</f>
        <v>296.04538259999998</v>
      </c>
      <c r="U230" s="38">
        <f>U69*'7_PARAMS'!$D$27</f>
        <v>296.04538259999998</v>
      </c>
      <c r="V230" s="38">
        <f>V69*'7_PARAMS'!$D$27</f>
        <v>296.04538259999998</v>
      </c>
      <c r="W230" s="38">
        <f>W69*'7_PARAMS'!$D$27</f>
        <v>296.04538259999998</v>
      </c>
      <c r="X230" s="38">
        <f>X69*'7_PARAMS'!$D$27</f>
        <v>296.04538259999998</v>
      </c>
      <c r="Y230" s="38">
        <f>Y69*'7_PARAMS'!$D$27</f>
        <v>296.04538259999998</v>
      </c>
      <c r="Z230" s="38">
        <f>Z69*'7_PARAMS'!$D$27</f>
        <v>296.04538259999998</v>
      </c>
      <c r="AA230" s="38">
        <f>AA69*'7_PARAMS'!$D$27</f>
        <v>296.04538259999998</v>
      </c>
      <c r="AB230" s="38">
        <f>AB69*'7_PARAMS'!$D$27</f>
        <v>296.04538259999998</v>
      </c>
      <c r="AC230" s="38">
        <f>AC69*'7_PARAMS'!$D$27</f>
        <v>296.04538259999998</v>
      </c>
    </row>
    <row r="231" spans="1:29" s="85" customFormat="1" x14ac:dyDescent="0.3">
      <c r="A231" s="31"/>
      <c r="B231" s="31"/>
      <c r="C231" s="93"/>
      <c r="D231" s="85" t="str">
        <f t="shared" si="132"/>
        <v>Nose Mount genset 1 plug, single engine, Tier 3, 32-34HP, Kubota / Carrier or Yanmar</v>
      </c>
      <c r="E231" s="85" t="s">
        <v>366</v>
      </c>
      <c r="G231" s="11">
        <f t="shared" si="131"/>
        <v>69077.255940000017</v>
      </c>
      <c r="I231" s="38">
        <f>I70*'7_PARAMS'!$D$27</f>
        <v>3289.3931400000006</v>
      </c>
      <c r="J231" s="38">
        <f>J70*'7_PARAMS'!$D$27</f>
        <v>3289.3931400000006</v>
      </c>
      <c r="K231" s="38">
        <f>K70*'7_PARAMS'!$D$27</f>
        <v>3289.3931400000006</v>
      </c>
      <c r="L231" s="38">
        <f>L70*'7_PARAMS'!$D$27</f>
        <v>3289.3931400000006</v>
      </c>
      <c r="M231" s="38">
        <f>M70*'7_PARAMS'!$D$27</f>
        <v>3289.3931400000006</v>
      </c>
      <c r="N231" s="38">
        <f>N70*'7_PARAMS'!$D$27</f>
        <v>3289.3931400000006</v>
      </c>
      <c r="O231" s="38">
        <f>O70*'7_PARAMS'!$D$27</f>
        <v>3289.3931400000006</v>
      </c>
      <c r="P231" s="38">
        <f>P70*'7_PARAMS'!$D$27</f>
        <v>3289.3931400000006</v>
      </c>
      <c r="Q231" s="38">
        <f>Q70*'7_PARAMS'!$D$27</f>
        <v>3289.3931400000006</v>
      </c>
      <c r="R231" s="38">
        <f>R70*'7_PARAMS'!$D$27</f>
        <v>3289.3931400000006</v>
      </c>
      <c r="S231" s="38">
        <f>S70*'7_PARAMS'!$D$27</f>
        <v>3289.3931400000006</v>
      </c>
      <c r="T231" s="38">
        <f>T70*'7_PARAMS'!$D$27</f>
        <v>3289.3931400000006</v>
      </c>
      <c r="U231" s="38">
        <f>U70*'7_PARAMS'!$D$27</f>
        <v>3289.3931400000006</v>
      </c>
      <c r="V231" s="38">
        <f>V70*'7_PARAMS'!$D$27</f>
        <v>3289.3931400000006</v>
      </c>
      <c r="W231" s="38">
        <f>W70*'7_PARAMS'!$D$27</f>
        <v>3289.3931400000006</v>
      </c>
      <c r="X231" s="38">
        <f>X70*'7_PARAMS'!$D$27</f>
        <v>3289.3931400000006</v>
      </c>
      <c r="Y231" s="38">
        <f>Y70*'7_PARAMS'!$D$27</f>
        <v>3289.3931400000006</v>
      </c>
      <c r="Z231" s="38">
        <f>Z70*'7_PARAMS'!$D$27</f>
        <v>3289.3931400000006</v>
      </c>
      <c r="AA231" s="38">
        <f>AA70*'7_PARAMS'!$D$27</f>
        <v>3289.3931400000006</v>
      </c>
      <c r="AB231" s="38">
        <f>AB70*'7_PARAMS'!$D$27</f>
        <v>3289.3931400000006</v>
      </c>
      <c r="AC231" s="38">
        <f>AC70*'7_PARAMS'!$D$27</f>
        <v>3289.3931400000006</v>
      </c>
    </row>
    <row r="232" spans="1:29" s="85" customFormat="1" x14ac:dyDescent="0.3">
      <c r="A232" s="31"/>
      <c r="B232" s="31"/>
      <c r="C232" s="93"/>
      <c r="D232" s="85" t="str">
        <f t="shared" si="132"/>
        <v>Reefer, electric</v>
      </c>
      <c r="E232" s="85" t="s">
        <v>366</v>
      </c>
      <c r="G232" s="11">
        <f t="shared" si="131"/>
        <v>0</v>
      </c>
      <c r="I232" s="38">
        <v>0</v>
      </c>
      <c r="J232" s="38">
        <v>0</v>
      </c>
      <c r="K232" s="38">
        <v>0</v>
      </c>
      <c r="L232" s="38">
        <v>0</v>
      </c>
      <c r="M232" s="38">
        <v>0</v>
      </c>
      <c r="N232" s="38">
        <v>0</v>
      </c>
      <c r="O232" s="38">
        <v>0</v>
      </c>
      <c r="P232" s="38">
        <v>0</v>
      </c>
      <c r="Q232" s="38">
        <v>0</v>
      </c>
      <c r="R232" s="38">
        <v>0</v>
      </c>
      <c r="S232" s="38">
        <v>0</v>
      </c>
      <c r="T232" s="38">
        <v>0</v>
      </c>
      <c r="U232" s="38">
        <v>0</v>
      </c>
      <c r="V232" s="38">
        <v>0</v>
      </c>
      <c r="W232" s="38">
        <v>0</v>
      </c>
      <c r="X232" s="38">
        <v>0</v>
      </c>
      <c r="Y232" s="38">
        <v>0</v>
      </c>
      <c r="Z232" s="38">
        <v>0</v>
      </c>
      <c r="AA232" s="38">
        <v>0</v>
      </c>
      <c r="AB232" s="38">
        <v>0</v>
      </c>
      <c r="AC232" s="38">
        <v>0</v>
      </c>
    </row>
    <row r="233" spans="1:29" s="85" customFormat="1" x14ac:dyDescent="0.3">
      <c r="A233" s="31"/>
      <c r="B233" s="31"/>
      <c r="C233" s="93"/>
      <c r="D233" s="31" t="str">
        <f t="shared" si="132"/>
        <v>TOTAL</v>
      </c>
      <c r="E233" s="85" t="s">
        <v>366</v>
      </c>
      <c r="G233" s="72">
        <f t="shared" si="131"/>
        <v>191007.30280800007</v>
      </c>
      <c r="I233" s="74">
        <f>SUM(I219:I232)</f>
        <v>8893.8075439999993</v>
      </c>
      <c r="J233" s="74">
        <f t="shared" ref="J233:AC233" si="133">SUM(J219:J232)</f>
        <v>8893.8075439999993</v>
      </c>
      <c r="K233" s="74">
        <f t="shared" si="133"/>
        <v>8893.8075439999993</v>
      </c>
      <c r="L233" s="74">
        <f t="shared" si="133"/>
        <v>8893.8075439999993</v>
      </c>
      <c r="M233" s="74">
        <f t="shared" si="133"/>
        <v>8893.8075439999993</v>
      </c>
      <c r="N233" s="74">
        <f t="shared" si="133"/>
        <v>8893.8075439999993</v>
      </c>
      <c r="O233" s="74">
        <f t="shared" si="133"/>
        <v>8893.8075439999993</v>
      </c>
      <c r="P233" s="74">
        <f t="shared" si="133"/>
        <v>9196.4750000000004</v>
      </c>
      <c r="Q233" s="74">
        <f t="shared" si="133"/>
        <v>9196.4750000000004</v>
      </c>
      <c r="R233" s="74">
        <f t="shared" si="133"/>
        <v>9196.4750000000004</v>
      </c>
      <c r="S233" s="74">
        <f t="shared" si="133"/>
        <v>9196.4750000000004</v>
      </c>
      <c r="T233" s="74">
        <f t="shared" si="133"/>
        <v>9196.4750000000004</v>
      </c>
      <c r="U233" s="74">
        <f t="shared" si="133"/>
        <v>9196.4750000000004</v>
      </c>
      <c r="V233" s="74">
        <f t="shared" si="133"/>
        <v>9196.4750000000004</v>
      </c>
      <c r="W233" s="74">
        <f t="shared" si="133"/>
        <v>9196.4750000000004</v>
      </c>
      <c r="X233" s="74">
        <f t="shared" si="133"/>
        <v>9196.4750000000004</v>
      </c>
      <c r="Y233" s="74">
        <f t="shared" si="133"/>
        <v>9196.4750000000004</v>
      </c>
      <c r="Z233" s="74">
        <f t="shared" si="133"/>
        <v>9196.4750000000004</v>
      </c>
      <c r="AA233" s="74">
        <f t="shared" si="133"/>
        <v>9196.4750000000004</v>
      </c>
      <c r="AB233" s="74">
        <f t="shared" si="133"/>
        <v>9196.4750000000004</v>
      </c>
      <c r="AC233" s="74">
        <f t="shared" si="133"/>
        <v>9196.4750000000004</v>
      </c>
    </row>
    <row r="235" spans="1:29" x14ac:dyDescent="0.3">
      <c r="C235" s="93" t="s">
        <v>378</v>
      </c>
      <c r="D235" s="31" t="s">
        <v>368</v>
      </c>
    </row>
    <row r="236" spans="1:29" x14ac:dyDescent="0.3">
      <c r="C236" s="93"/>
      <c r="D236" t="str">
        <f>D219</f>
        <v>Top Pick</v>
      </c>
      <c r="E236" t="str">
        <f>E168</f>
        <v>tons/yr</v>
      </c>
      <c r="G236" s="11">
        <f t="shared" ref="G236:G250" si="134">SUM(I236:AC236)</f>
        <v>264.68696510982073</v>
      </c>
      <c r="I236" s="38">
        <f>I168-I100</f>
        <v>4.5683283484764701</v>
      </c>
      <c r="J236" s="38">
        <f t="shared" ref="J236:AC249" si="135">J168-J100</f>
        <v>16.552100756814191</v>
      </c>
      <c r="K236" s="38">
        <f t="shared" si="135"/>
        <v>35.600078711881949</v>
      </c>
      <c r="L236" s="38">
        <f t="shared" si="135"/>
        <v>35.127989903091375</v>
      </c>
      <c r="M236" s="38">
        <f t="shared" si="135"/>
        <v>34.655900362071819</v>
      </c>
      <c r="N236" s="38">
        <f t="shared" si="135"/>
        <v>32.830438694704206</v>
      </c>
      <c r="O236" s="38">
        <f t="shared" si="135"/>
        <v>29.366451659766245</v>
      </c>
      <c r="P236" s="38">
        <f t="shared" si="135"/>
        <v>24.075277543019748</v>
      </c>
      <c r="Q236" s="38">
        <f t="shared" si="135"/>
        <v>18.937541763388953</v>
      </c>
      <c r="R236" s="38">
        <f t="shared" si="135"/>
        <v>13.799805983758155</v>
      </c>
      <c r="S236" s="38">
        <f t="shared" si="135"/>
        <v>8.6620702041273496</v>
      </c>
      <c r="T236" s="38">
        <f t="shared" si="135"/>
        <v>4.1606105536698008</v>
      </c>
      <c r="U236" s="38">
        <f t="shared" si="135"/>
        <v>0.70559673611669571</v>
      </c>
      <c r="V236" s="38">
        <f t="shared" si="135"/>
        <v>0.70559673611669571</v>
      </c>
      <c r="W236" s="38">
        <f t="shared" si="135"/>
        <v>0.70559673611669571</v>
      </c>
      <c r="X236" s="38">
        <f t="shared" si="135"/>
        <v>0.70559673611669571</v>
      </c>
      <c r="Y236" s="38">
        <f t="shared" si="135"/>
        <v>0.70559673611669571</v>
      </c>
      <c r="Z236" s="38">
        <f t="shared" si="135"/>
        <v>0.70559673611669571</v>
      </c>
      <c r="AA236" s="38">
        <f t="shared" si="135"/>
        <v>0.70559673611669571</v>
      </c>
      <c r="AB236" s="38">
        <f t="shared" si="135"/>
        <v>0.70559673611669571</v>
      </c>
      <c r="AC236" s="38">
        <f t="shared" si="135"/>
        <v>0.70559673611669571</v>
      </c>
    </row>
    <row r="237" spans="1:29" x14ac:dyDescent="0.3">
      <c r="C237" s="93"/>
      <c r="D237" s="85" t="str">
        <f t="shared" ref="D237:D267" si="136">D220</f>
        <v>RTGs, Hybrid</v>
      </c>
      <c r="E237" s="85" t="str">
        <f t="shared" ref="E237:E250" si="137">E169</f>
        <v>tons/yr</v>
      </c>
      <c r="G237" s="11">
        <f t="shared" si="134"/>
        <v>-2.7026595585489352</v>
      </c>
      <c r="I237" s="38">
        <f t="shared" ref="I237:X249" si="138">I169-I101</f>
        <v>-2.2903894563974021E-2</v>
      </c>
      <c r="J237" s="38">
        <f t="shared" si="138"/>
        <v>-6.8711683691922057E-2</v>
      </c>
      <c r="K237" s="38">
        <f t="shared" si="138"/>
        <v>-0.13742336738384411</v>
      </c>
      <c r="L237" s="38">
        <f t="shared" si="138"/>
        <v>-0.13742336738384411</v>
      </c>
      <c r="M237" s="38">
        <f t="shared" si="138"/>
        <v>-0.13742336738384411</v>
      </c>
      <c r="N237" s="38">
        <f t="shared" si="138"/>
        <v>-0.13742336738384411</v>
      </c>
      <c r="O237" s="38">
        <f t="shared" si="138"/>
        <v>-0.13742336738384411</v>
      </c>
      <c r="P237" s="38">
        <f t="shared" si="138"/>
        <v>-0.13742336738384411</v>
      </c>
      <c r="Q237" s="38">
        <f t="shared" si="138"/>
        <v>-0.13742336738384411</v>
      </c>
      <c r="R237" s="38">
        <f t="shared" si="138"/>
        <v>-0.13742336738384411</v>
      </c>
      <c r="S237" s="38">
        <f t="shared" si="138"/>
        <v>-0.13742336738384411</v>
      </c>
      <c r="T237" s="38">
        <f t="shared" si="138"/>
        <v>-0.13742336738384411</v>
      </c>
      <c r="U237" s="38">
        <f t="shared" si="138"/>
        <v>-0.13742336738384411</v>
      </c>
      <c r="V237" s="38">
        <f t="shared" si="138"/>
        <v>-0.13742336738384411</v>
      </c>
      <c r="W237" s="38">
        <f t="shared" si="138"/>
        <v>-0.13742336738384411</v>
      </c>
      <c r="X237" s="38">
        <f t="shared" si="138"/>
        <v>-0.13742336738384411</v>
      </c>
      <c r="Y237" s="38">
        <f t="shared" si="135"/>
        <v>-0.13742336738384411</v>
      </c>
      <c r="Z237" s="38">
        <f t="shared" si="135"/>
        <v>-0.13742336738384411</v>
      </c>
      <c r="AA237" s="38">
        <f t="shared" si="135"/>
        <v>-0.13742336738384411</v>
      </c>
      <c r="AB237" s="38">
        <f t="shared" si="135"/>
        <v>-0.13742336738384411</v>
      </c>
      <c r="AC237" s="38">
        <f t="shared" si="135"/>
        <v>-0.13742336738384411</v>
      </c>
    </row>
    <row r="238" spans="1:29" x14ac:dyDescent="0.3">
      <c r="C238" s="93"/>
      <c r="D238" s="85" t="str">
        <f t="shared" si="136"/>
        <v>Forklift, 10000 lb, Diesel</v>
      </c>
      <c r="E238" s="85" t="str">
        <f t="shared" si="137"/>
        <v>tons/yr</v>
      </c>
      <c r="G238" s="11">
        <f t="shared" si="134"/>
        <v>24.976699034314596</v>
      </c>
      <c r="I238" s="38">
        <f t="shared" si="138"/>
        <v>0.12678527428586084</v>
      </c>
      <c r="J238" s="38">
        <f t="shared" si="135"/>
        <v>0.7607116457151657</v>
      </c>
      <c r="K238" s="38">
        <f t="shared" si="135"/>
        <v>1.2678527428586095</v>
      </c>
      <c r="L238" s="38">
        <f t="shared" si="135"/>
        <v>1.2678527428586095</v>
      </c>
      <c r="M238" s="38">
        <f t="shared" si="135"/>
        <v>1.2678527428586095</v>
      </c>
      <c r="N238" s="38">
        <f t="shared" si="135"/>
        <v>1.2678527428586095</v>
      </c>
      <c r="O238" s="38">
        <f t="shared" si="135"/>
        <v>1.2678527428586095</v>
      </c>
      <c r="P238" s="38">
        <f t="shared" si="135"/>
        <v>1.2678527428586095</v>
      </c>
      <c r="Q238" s="38">
        <f t="shared" si="135"/>
        <v>1.2678527428586095</v>
      </c>
      <c r="R238" s="38">
        <f t="shared" si="135"/>
        <v>1.2678527428586095</v>
      </c>
      <c r="S238" s="38">
        <f t="shared" si="135"/>
        <v>1.2678527428586095</v>
      </c>
      <c r="T238" s="38">
        <f t="shared" si="135"/>
        <v>1.2678527428586095</v>
      </c>
      <c r="U238" s="38">
        <f t="shared" si="135"/>
        <v>1.2678527428586095</v>
      </c>
      <c r="V238" s="38">
        <f t="shared" si="135"/>
        <v>1.2678527428586095</v>
      </c>
      <c r="W238" s="38">
        <f t="shared" si="135"/>
        <v>1.2678527428586095</v>
      </c>
      <c r="X238" s="38">
        <f t="shared" si="135"/>
        <v>1.2678527428586095</v>
      </c>
      <c r="Y238" s="38">
        <f t="shared" si="135"/>
        <v>1.2678527428586095</v>
      </c>
      <c r="Z238" s="38">
        <f t="shared" si="135"/>
        <v>1.2678527428586095</v>
      </c>
      <c r="AA238" s="38">
        <f t="shared" si="135"/>
        <v>1.2678527428586095</v>
      </c>
      <c r="AB238" s="38">
        <f t="shared" si="135"/>
        <v>1.2678527428586095</v>
      </c>
      <c r="AC238" s="38">
        <f t="shared" si="135"/>
        <v>1.2678527428586095</v>
      </c>
    </row>
    <row r="239" spans="1:29" x14ac:dyDescent="0.3">
      <c r="C239" s="93"/>
      <c r="D239" s="85" t="str">
        <f t="shared" si="136"/>
        <v>Forklift, 10000 lb, electric</v>
      </c>
      <c r="E239" s="85" t="str">
        <f t="shared" si="137"/>
        <v>tons/yr</v>
      </c>
      <c r="G239" s="11">
        <f t="shared" si="134"/>
        <v>-0.96375551999999998</v>
      </c>
      <c r="I239" s="38">
        <f t="shared" si="138"/>
        <v>-4.8921599999999987E-3</v>
      </c>
      <c r="J239" s="38">
        <f t="shared" si="135"/>
        <v>-2.9352959999999994E-2</v>
      </c>
      <c r="K239" s="38">
        <f t="shared" si="135"/>
        <v>-4.8921599999999982E-2</v>
      </c>
      <c r="L239" s="38">
        <f t="shared" si="135"/>
        <v>-4.8921599999999982E-2</v>
      </c>
      <c r="M239" s="38">
        <f t="shared" si="135"/>
        <v>-4.8921599999999982E-2</v>
      </c>
      <c r="N239" s="38">
        <f t="shared" si="135"/>
        <v>-4.8921599999999982E-2</v>
      </c>
      <c r="O239" s="38">
        <f t="shared" si="135"/>
        <v>-4.8921599999999982E-2</v>
      </c>
      <c r="P239" s="38">
        <f t="shared" si="135"/>
        <v>-4.8921599999999982E-2</v>
      </c>
      <c r="Q239" s="38">
        <f t="shared" si="135"/>
        <v>-4.8921599999999982E-2</v>
      </c>
      <c r="R239" s="38">
        <f t="shared" si="135"/>
        <v>-4.8921599999999982E-2</v>
      </c>
      <c r="S239" s="38">
        <f t="shared" si="135"/>
        <v>-4.8921599999999982E-2</v>
      </c>
      <c r="T239" s="38">
        <f t="shared" si="135"/>
        <v>-4.8921599999999982E-2</v>
      </c>
      <c r="U239" s="38">
        <f t="shared" si="135"/>
        <v>-4.8921599999999982E-2</v>
      </c>
      <c r="V239" s="38">
        <f t="shared" si="135"/>
        <v>-4.8921599999999982E-2</v>
      </c>
      <c r="W239" s="38">
        <f t="shared" si="135"/>
        <v>-4.8921599999999982E-2</v>
      </c>
      <c r="X239" s="38">
        <f t="shared" si="135"/>
        <v>-4.8921599999999982E-2</v>
      </c>
      <c r="Y239" s="38">
        <f t="shared" si="135"/>
        <v>-4.8921599999999982E-2</v>
      </c>
      <c r="Z239" s="38">
        <f t="shared" si="135"/>
        <v>-4.8921599999999982E-2</v>
      </c>
      <c r="AA239" s="38">
        <f t="shared" si="135"/>
        <v>-4.8921599999999982E-2</v>
      </c>
      <c r="AB239" s="38">
        <f t="shared" si="135"/>
        <v>-4.8921599999999982E-2</v>
      </c>
      <c r="AC239" s="38">
        <f t="shared" si="135"/>
        <v>-4.8921599999999982E-2</v>
      </c>
    </row>
    <row r="240" spans="1:29" x14ac:dyDescent="0.3">
      <c r="C240" s="93"/>
      <c r="D240" s="85" t="str">
        <f t="shared" si="136"/>
        <v>Forklift, 18000 lb, Diesel</v>
      </c>
      <c r="E240" s="85" t="str">
        <f t="shared" si="137"/>
        <v>tons/yr</v>
      </c>
      <c r="G240" s="11">
        <f t="shared" si="134"/>
        <v>41.205214142904808</v>
      </c>
      <c r="I240" s="38">
        <f t="shared" si="138"/>
        <v>0</v>
      </c>
      <c r="J240" s="38">
        <f t="shared" si="135"/>
        <v>1.0565439523821745</v>
      </c>
      <c r="K240" s="38">
        <f t="shared" si="135"/>
        <v>2.1130879047643489</v>
      </c>
      <c r="L240" s="38">
        <f t="shared" si="135"/>
        <v>2.1130879047643489</v>
      </c>
      <c r="M240" s="38">
        <f t="shared" si="135"/>
        <v>2.1130879047643489</v>
      </c>
      <c r="N240" s="38">
        <f t="shared" si="135"/>
        <v>2.1130879047643489</v>
      </c>
      <c r="O240" s="38">
        <f t="shared" si="135"/>
        <v>2.1130879047643489</v>
      </c>
      <c r="P240" s="38">
        <f t="shared" si="135"/>
        <v>2.1130879047643489</v>
      </c>
      <c r="Q240" s="38">
        <f t="shared" si="135"/>
        <v>2.1130879047643489</v>
      </c>
      <c r="R240" s="38">
        <f t="shared" si="135"/>
        <v>2.1130879047643489</v>
      </c>
      <c r="S240" s="38">
        <f t="shared" si="135"/>
        <v>2.1130879047643489</v>
      </c>
      <c r="T240" s="38">
        <f t="shared" si="135"/>
        <v>2.1130879047643489</v>
      </c>
      <c r="U240" s="38">
        <f t="shared" si="135"/>
        <v>2.1130879047643489</v>
      </c>
      <c r="V240" s="38">
        <f t="shared" si="135"/>
        <v>2.1130879047643489</v>
      </c>
      <c r="W240" s="38">
        <f t="shared" si="135"/>
        <v>2.1130879047643489</v>
      </c>
      <c r="X240" s="38">
        <f t="shared" si="135"/>
        <v>2.1130879047643489</v>
      </c>
      <c r="Y240" s="38">
        <f t="shared" si="135"/>
        <v>2.1130879047643489</v>
      </c>
      <c r="Z240" s="38">
        <f t="shared" si="135"/>
        <v>2.1130879047643489</v>
      </c>
      <c r="AA240" s="38">
        <f t="shared" si="135"/>
        <v>2.1130879047643489</v>
      </c>
      <c r="AB240" s="38">
        <f t="shared" si="135"/>
        <v>2.1130879047643489</v>
      </c>
      <c r="AC240" s="38">
        <f t="shared" si="135"/>
        <v>2.1130879047643489</v>
      </c>
    </row>
    <row r="241" spans="3:29" x14ac:dyDescent="0.3">
      <c r="C241" s="93"/>
      <c r="D241" s="85" t="str">
        <f t="shared" si="136"/>
        <v>Forklift, 18000 lb, electric</v>
      </c>
      <c r="E241" s="85" t="str">
        <f t="shared" si="137"/>
        <v>tons/yr</v>
      </c>
      <c r="G241" s="11">
        <f t="shared" si="134"/>
        <v>-1.0902528000000002</v>
      </c>
      <c r="I241" s="38">
        <f t="shared" si="138"/>
        <v>0</v>
      </c>
      <c r="J241" s="38">
        <f t="shared" si="135"/>
        <v>-2.7955200000000003E-2</v>
      </c>
      <c r="K241" s="38">
        <f t="shared" si="135"/>
        <v>-5.5910400000000006E-2</v>
      </c>
      <c r="L241" s="38">
        <f t="shared" si="135"/>
        <v>-5.5910400000000006E-2</v>
      </c>
      <c r="M241" s="38">
        <f t="shared" si="135"/>
        <v>-5.5910400000000006E-2</v>
      </c>
      <c r="N241" s="38">
        <f t="shared" si="135"/>
        <v>-5.5910400000000006E-2</v>
      </c>
      <c r="O241" s="38">
        <f t="shared" si="135"/>
        <v>-5.5910400000000006E-2</v>
      </c>
      <c r="P241" s="38">
        <f t="shared" si="135"/>
        <v>-5.5910400000000006E-2</v>
      </c>
      <c r="Q241" s="38">
        <f t="shared" si="135"/>
        <v>-5.5910400000000006E-2</v>
      </c>
      <c r="R241" s="38">
        <f t="shared" si="135"/>
        <v>-5.5910400000000006E-2</v>
      </c>
      <c r="S241" s="38">
        <f t="shared" si="135"/>
        <v>-5.5910400000000006E-2</v>
      </c>
      <c r="T241" s="38">
        <f t="shared" si="135"/>
        <v>-5.5910400000000006E-2</v>
      </c>
      <c r="U241" s="38">
        <f t="shared" si="135"/>
        <v>-5.5910400000000006E-2</v>
      </c>
      <c r="V241" s="38">
        <f t="shared" si="135"/>
        <v>-5.5910400000000006E-2</v>
      </c>
      <c r="W241" s="38">
        <f t="shared" si="135"/>
        <v>-5.5910400000000006E-2</v>
      </c>
      <c r="X241" s="38">
        <f t="shared" si="135"/>
        <v>-5.5910400000000006E-2</v>
      </c>
      <c r="Y241" s="38">
        <f t="shared" si="135"/>
        <v>-5.5910400000000006E-2</v>
      </c>
      <c r="Z241" s="38">
        <f t="shared" si="135"/>
        <v>-5.5910400000000006E-2</v>
      </c>
      <c r="AA241" s="38">
        <f t="shared" si="135"/>
        <v>-5.5910400000000006E-2</v>
      </c>
      <c r="AB241" s="38">
        <f t="shared" si="135"/>
        <v>-5.5910400000000006E-2</v>
      </c>
      <c r="AC241" s="38">
        <f t="shared" si="135"/>
        <v>-5.5910400000000006E-2</v>
      </c>
    </row>
    <row r="242" spans="3:29" x14ac:dyDescent="0.3">
      <c r="C242" s="93"/>
      <c r="D242" s="85" t="str">
        <f t="shared" si="136"/>
        <v>Forklift, 36000 lb, diesel</v>
      </c>
      <c r="E242" s="85" t="str">
        <f t="shared" si="137"/>
        <v>tons/yr</v>
      </c>
      <c r="G242" s="11">
        <f t="shared" si="134"/>
        <v>93.37664080271152</v>
      </c>
      <c r="I242" s="38">
        <f t="shared" si="138"/>
        <v>0.46497194073205428</v>
      </c>
      <c r="J242" s="38">
        <f t="shared" si="135"/>
        <v>4.5670001228891692</v>
      </c>
      <c r="K242" s="38">
        <f t="shared" si="135"/>
        <v>4.649719407320541</v>
      </c>
      <c r="L242" s="38">
        <f t="shared" si="135"/>
        <v>4.649719407320541</v>
      </c>
      <c r="M242" s="38">
        <f t="shared" si="135"/>
        <v>4.649719407320541</v>
      </c>
      <c r="N242" s="38">
        <f t="shared" si="135"/>
        <v>4.649719407320541</v>
      </c>
      <c r="O242" s="38">
        <f t="shared" si="135"/>
        <v>4.649719407320541</v>
      </c>
      <c r="P242" s="38">
        <f t="shared" si="135"/>
        <v>4.649719407320541</v>
      </c>
      <c r="Q242" s="38">
        <f t="shared" si="135"/>
        <v>4.649719407320541</v>
      </c>
      <c r="R242" s="38">
        <f t="shared" si="135"/>
        <v>4.649719407320541</v>
      </c>
      <c r="S242" s="38">
        <f t="shared" si="135"/>
        <v>4.649719407320541</v>
      </c>
      <c r="T242" s="38">
        <f t="shared" si="135"/>
        <v>4.649719407320541</v>
      </c>
      <c r="U242" s="38">
        <f t="shared" si="135"/>
        <v>4.649719407320541</v>
      </c>
      <c r="V242" s="38">
        <f t="shared" si="135"/>
        <v>4.649719407320541</v>
      </c>
      <c r="W242" s="38">
        <f t="shared" si="135"/>
        <v>4.649719407320541</v>
      </c>
      <c r="X242" s="38">
        <f t="shared" si="135"/>
        <v>4.649719407320541</v>
      </c>
      <c r="Y242" s="38">
        <f t="shared" si="135"/>
        <v>4.649719407320541</v>
      </c>
      <c r="Z242" s="38">
        <f t="shared" si="135"/>
        <v>4.649719407320541</v>
      </c>
      <c r="AA242" s="38">
        <f t="shared" si="135"/>
        <v>4.649719407320541</v>
      </c>
      <c r="AB242" s="38">
        <f t="shared" si="135"/>
        <v>4.649719407320541</v>
      </c>
      <c r="AC242" s="38">
        <f t="shared" si="135"/>
        <v>4.649719407320541</v>
      </c>
    </row>
    <row r="243" spans="3:29" x14ac:dyDescent="0.3">
      <c r="C243" s="93"/>
      <c r="D243" s="85" t="str">
        <f t="shared" si="136"/>
        <v>Forklift, 36000 lb, electric</v>
      </c>
      <c r="E243" s="85" t="str">
        <f t="shared" si="137"/>
        <v>tons/yr</v>
      </c>
      <c r="G243" s="11">
        <f t="shared" si="134"/>
        <v>-1.3767935999999994</v>
      </c>
      <c r="I243" s="38">
        <f t="shared" si="138"/>
        <v>-6.9887999999999999E-3</v>
      </c>
      <c r="J243" s="38">
        <f t="shared" si="135"/>
        <v>-4.1932799999999992E-2</v>
      </c>
      <c r="K243" s="38">
        <f t="shared" si="135"/>
        <v>-6.9887999999999992E-2</v>
      </c>
      <c r="L243" s="38">
        <f t="shared" si="135"/>
        <v>-6.9887999999999992E-2</v>
      </c>
      <c r="M243" s="38">
        <f t="shared" si="135"/>
        <v>-6.9887999999999992E-2</v>
      </c>
      <c r="N243" s="38">
        <f t="shared" si="135"/>
        <v>-6.9887999999999992E-2</v>
      </c>
      <c r="O243" s="38">
        <f t="shared" si="135"/>
        <v>-6.9887999999999992E-2</v>
      </c>
      <c r="P243" s="38">
        <f t="shared" si="135"/>
        <v>-6.9887999999999992E-2</v>
      </c>
      <c r="Q243" s="38">
        <f t="shared" si="135"/>
        <v>-6.9887999999999992E-2</v>
      </c>
      <c r="R243" s="38">
        <f t="shared" si="135"/>
        <v>-6.9887999999999992E-2</v>
      </c>
      <c r="S243" s="38">
        <f t="shared" si="135"/>
        <v>-6.9887999999999992E-2</v>
      </c>
      <c r="T243" s="38">
        <f t="shared" si="135"/>
        <v>-6.9887999999999992E-2</v>
      </c>
      <c r="U243" s="38">
        <f t="shared" si="135"/>
        <v>-6.9887999999999992E-2</v>
      </c>
      <c r="V243" s="38">
        <f t="shared" si="135"/>
        <v>-6.9887999999999992E-2</v>
      </c>
      <c r="W243" s="38">
        <f t="shared" si="135"/>
        <v>-6.9887999999999992E-2</v>
      </c>
      <c r="X243" s="38">
        <f t="shared" si="135"/>
        <v>-6.9887999999999992E-2</v>
      </c>
      <c r="Y243" s="38">
        <f t="shared" si="135"/>
        <v>-6.9887999999999992E-2</v>
      </c>
      <c r="Z243" s="38">
        <f t="shared" si="135"/>
        <v>-6.9887999999999992E-2</v>
      </c>
      <c r="AA243" s="38">
        <f t="shared" si="135"/>
        <v>-6.9887999999999992E-2</v>
      </c>
      <c r="AB243" s="38">
        <f t="shared" si="135"/>
        <v>-6.9887999999999992E-2</v>
      </c>
      <c r="AC243" s="38">
        <f t="shared" si="135"/>
        <v>-6.9887999999999992E-2</v>
      </c>
    </row>
    <row r="244" spans="3:29" x14ac:dyDescent="0.3">
      <c r="C244" s="93"/>
      <c r="D244" s="85" t="str">
        <f t="shared" si="136"/>
        <v>Yard Tractor, Diesel</v>
      </c>
      <c r="E244" s="85" t="str">
        <f t="shared" si="137"/>
        <v>tons/yr</v>
      </c>
      <c r="G244" s="11">
        <f t="shared" si="134"/>
        <v>25.396668309282401</v>
      </c>
      <c r="I244" s="38">
        <f t="shared" si="138"/>
        <v>0.12891709801666185</v>
      </c>
      <c r="J244" s="38">
        <f t="shared" si="135"/>
        <v>0.77350258809997141</v>
      </c>
      <c r="K244" s="38">
        <f t="shared" si="135"/>
        <v>1.2891709801666191</v>
      </c>
      <c r="L244" s="38">
        <f t="shared" si="135"/>
        <v>1.2891709801666191</v>
      </c>
      <c r="M244" s="38">
        <f t="shared" si="135"/>
        <v>1.2891709801666191</v>
      </c>
      <c r="N244" s="38">
        <f t="shared" si="135"/>
        <v>1.2891709801666191</v>
      </c>
      <c r="O244" s="38">
        <f t="shared" si="135"/>
        <v>1.2891709801666191</v>
      </c>
      <c r="P244" s="38">
        <f t="shared" si="135"/>
        <v>1.2891709801666191</v>
      </c>
      <c r="Q244" s="38">
        <f t="shared" si="135"/>
        <v>1.2891709801666191</v>
      </c>
      <c r="R244" s="38">
        <f t="shared" si="135"/>
        <v>1.2891709801666191</v>
      </c>
      <c r="S244" s="38">
        <f t="shared" si="135"/>
        <v>1.2891709801666191</v>
      </c>
      <c r="T244" s="38">
        <f t="shared" si="135"/>
        <v>1.2891709801666191</v>
      </c>
      <c r="U244" s="38">
        <f t="shared" si="135"/>
        <v>1.2891709801666191</v>
      </c>
      <c r="V244" s="38">
        <f t="shared" si="135"/>
        <v>1.2891709801666191</v>
      </c>
      <c r="W244" s="38">
        <f t="shared" si="135"/>
        <v>1.2891709801666191</v>
      </c>
      <c r="X244" s="38">
        <f t="shared" si="135"/>
        <v>1.2891709801666191</v>
      </c>
      <c r="Y244" s="38">
        <f t="shared" si="135"/>
        <v>1.2891709801666191</v>
      </c>
      <c r="Z244" s="38">
        <f t="shared" si="135"/>
        <v>1.2891709801666191</v>
      </c>
      <c r="AA244" s="38">
        <f t="shared" si="135"/>
        <v>1.2891709801666191</v>
      </c>
      <c r="AB244" s="38">
        <f t="shared" si="135"/>
        <v>1.2891709801666191</v>
      </c>
      <c r="AC244" s="38">
        <f t="shared" si="135"/>
        <v>1.2891709801666191</v>
      </c>
    </row>
    <row r="245" spans="3:29" x14ac:dyDescent="0.3">
      <c r="C245" s="93"/>
      <c r="D245" s="85" t="str">
        <f t="shared" si="136"/>
        <v>Yard Tractor, electric</v>
      </c>
      <c r="E245" s="85" t="str">
        <f t="shared" si="137"/>
        <v>tons/yr</v>
      </c>
      <c r="G245" s="11">
        <f t="shared" si="134"/>
        <v>-1.4253863152941173</v>
      </c>
      <c r="I245" s="38">
        <f t="shared" si="138"/>
        <v>-7.2354635294117628E-3</v>
      </c>
      <c r="J245" s="38">
        <f t="shared" si="135"/>
        <v>-4.3412781176470572E-2</v>
      </c>
      <c r="K245" s="38">
        <f t="shared" si="135"/>
        <v>-7.2354635294117634E-2</v>
      </c>
      <c r="L245" s="38">
        <f t="shared" si="135"/>
        <v>-7.2354635294117634E-2</v>
      </c>
      <c r="M245" s="38">
        <f t="shared" si="135"/>
        <v>-7.2354635294117634E-2</v>
      </c>
      <c r="N245" s="38">
        <f t="shared" si="135"/>
        <v>-7.2354635294117634E-2</v>
      </c>
      <c r="O245" s="38">
        <f t="shared" si="135"/>
        <v>-7.2354635294117634E-2</v>
      </c>
      <c r="P245" s="38">
        <f t="shared" si="135"/>
        <v>-7.2354635294117634E-2</v>
      </c>
      <c r="Q245" s="38">
        <f t="shared" si="135"/>
        <v>-7.2354635294117634E-2</v>
      </c>
      <c r="R245" s="38">
        <f t="shared" si="135"/>
        <v>-7.2354635294117634E-2</v>
      </c>
      <c r="S245" s="38">
        <f t="shared" si="135"/>
        <v>-7.2354635294117634E-2</v>
      </c>
      <c r="T245" s="38">
        <f t="shared" si="135"/>
        <v>-7.2354635294117634E-2</v>
      </c>
      <c r="U245" s="38">
        <f t="shared" si="135"/>
        <v>-7.2354635294117634E-2</v>
      </c>
      <c r="V245" s="38">
        <f t="shared" si="135"/>
        <v>-7.2354635294117634E-2</v>
      </c>
      <c r="W245" s="38">
        <f t="shared" si="135"/>
        <v>-7.2354635294117634E-2</v>
      </c>
      <c r="X245" s="38">
        <f t="shared" si="135"/>
        <v>-7.2354635294117634E-2</v>
      </c>
      <c r="Y245" s="38">
        <f t="shared" si="135"/>
        <v>-7.2354635294117634E-2</v>
      </c>
      <c r="Z245" s="38">
        <f t="shared" si="135"/>
        <v>-7.2354635294117634E-2</v>
      </c>
      <c r="AA245" s="38">
        <f t="shared" si="135"/>
        <v>-7.2354635294117634E-2</v>
      </c>
      <c r="AB245" s="38">
        <f t="shared" si="135"/>
        <v>-7.2354635294117634E-2</v>
      </c>
      <c r="AC245" s="38">
        <f t="shared" si="135"/>
        <v>-7.2354635294117634E-2</v>
      </c>
    </row>
    <row r="246" spans="3:29" x14ac:dyDescent="0.3">
      <c r="C246" s="93"/>
      <c r="D246" s="85" t="str">
        <f t="shared" si="136"/>
        <v>Reefer Power Packs, 30 plugs, dual engine, Tier 3, 400 HP CAT</v>
      </c>
      <c r="E246" s="85" t="str">
        <f t="shared" si="137"/>
        <v>tons/yr</v>
      </c>
      <c r="G246" s="11">
        <f t="shared" si="134"/>
        <v>71.464356062797464</v>
      </c>
      <c r="I246" s="38">
        <f t="shared" si="138"/>
        <v>0</v>
      </c>
      <c r="J246" s="38">
        <f t="shared" si="135"/>
        <v>0</v>
      </c>
      <c r="K246" s="38">
        <f t="shared" si="135"/>
        <v>3.7612818980419718</v>
      </c>
      <c r="L246" s="38">
        <f t="shared" si="135"/>
        <v>3.7612818980419718</v>
      </c>
      <c r="M246" s="38">
        <f t="shared" si="135"/>
        <v>3.7612818980419718</v>
      </c>
      <c r="N246" s="38">
        <f t="shared" si="135"/>
        <v>3.7612818980419718</v>
      </c>
      <c r="O246" s="38">
        <f t="shared" si="135"/>
        <v>3.7612818980419718</v>
      </c>
      <c r="P246" s="38">
        <f t="shared" si="135"/>
        <v>3.7612818980419718</v>
      </c>
      <c r="Q246" s="38">
        <f t="shared" si="135"/>
        <v>3.7612818980419718</v>
      </c>
      <c r="R246" s="38">
        <f t="shared" si="135"/>
        <v>3.7612818980419718</v>
      </c>
      <c r="S246" s="38">
        <f t="shared" si="135"/>
        <v>3.7612818980419718</v>
      </c>
      <c r="T246" s="38">
        <f t="shared" si="135"/>
        <v>3.7612818980419718</v>
      </c>
      <c r="U246" s="38">
        <f t="shared" si="135"/>
        <v>3.7612818980419718</v>
      </c>
      <c r="V246" s="38">
        <f t="shared" si="135"/>
        <v>3.7612818980419718</v>
      </c>
      <c r="W246" s="38">
        <f t="shared" si="135"/>
        <v>3.7612818980419718</v>
      </c>
      <c r="X246" s="38">
        <f t="shared" si="135"/>
        <v>3.7612818980419718</v>
      </c>
      <c r="Y246" s="38">
        <f t="shared" si="135"/>
        <v>3.7612818980419718</v>
      </c>
      <c r="Z246" s="38">
        <f t="shared" si="135"/>
        <v>3.7612818980419718</v>
      </c>
      <c r="AA246" s="38">
        <f t="shared" si="135"/>
        <v>3.7612818980419718</v>
      </c>
      <c r="AB246" s="38">
        <f t="shared" si="135"/>
        <v>3.7612818980419718</v>
      </c>
      <c r="AC246" s="38">
        <f t="shared" si="135"/>
        <v>3.7612818980419718</v>
      </c>
    </row>
    <row r="247" spans="3:29" x14ac:dyDescent="0.3">
      <c r="C247" s="93"/>
      <c r="D247" s="85" t="str">
        <f t="shared" si="136"/>
        <v>Reefer Power Packs, 30 plugs, single engine, Tier 3 400 HP CAT</v>
      </c>
      <c r="E247" s="85" t="str">
        <f t="shared" si="137"/>
        <v>tons/yr</v>
      </c>
      <c r="G247" s="11">
        <f t="shared" si="134"/>
        <v>61.548249240686786</v>
      </c>
      <c r="I247" s="38">
        <f t="shared" si="138"/>
        <v>0</v>
      </c>
      <c r="J247" s="38">
        <f t="shared" si="135"/>
        <v>3.0774124620343404</v>
      </c>
      <c r="K247" s="38">
        <f t="shared" si="135"/>
        <v>3.0774124620343404</v>
      </c>
      <c r="L247" s="38">
        <f t="shared" si="135"/>
        <v>3.0774124620343404</v>
      </c>
      <c r="M247" s="38">
        <f t="shared" si="135"/>
        <v>3.0774124620343404</v>
      </c>
      <c r="N247" s="38">
        <f t="shared" si="135"/>
        <v>3.0774124620343404</v>
      </c>
      <c r="O247" s="38">
        <f t="shared" si="135"/>
        <v>3.0774124620343404</v>
      </c>
      <c r="P247" s="38">
        <f t="shared" si="135"/>
        <v>3.0774124620343404</v>
      </c>
      <c r="Q247" s="38">
        <f t="shared" si="135"/>
        <v>3.0774124620343404</v>
      </c>
      <c r="R247" s="38">
        <f t="shared" si="135"/>
        <v>3.0774124620343404</v>
      </c>
      <c r="S247" s="38">
        <f t="shared" si="135"/>
        <v>3.0774124620343404</v>
      </c>
      <c r="T247" s="38">
        <f t="shared" si="135"/>
        <v>3.0774124620343404</v>
      </c>
      <c r="U247" s="38">
        <f t="shared" si="135"/>
        <v>3.0774124620343404</v>
      </c>
      <c r="V247" s="38">
        <f t="shared" si="135"/>
        <v>3.0774124620343404</v>
      </c>
      <c r="W247" s="38">
        <f t="shared" si="135"/>
        <v>3.0774124620343404</v>
      </c>
      <c r="X247" s="38">
        <f t="shared" si="135"/>
        <v>3.0774124620343404</v>
      </c>
      <c r="Y247" s="38">
        <f t="shared" si="135"/>
        <v>3.0774124620343404</v>
      </c>
      <c r="Z247" s="38">
        <f t="shared" si="135"/>
        <v>3.0774124620343404</v>
      </c>
      <c r="AA247" s="38">
        <f t="shared" si="135"/>
        <v>3.0774124620343404</v>
      </c>
      <c r="AB247" s="38">
        <f t="shared" si="135"/>
        <v>3.0774124620343404</v>
      </c>
      <c r="AC247" s="38">
        <f t="shared" si="135"/>
        <v>3.0774124620343404</v>
      </c>
    </row>
    <row r="248" spans="3:29" x14ac:dyDescent="0.3">
      <c r="C248" s="93"/>
      <c r="D248" s="85" t="str">
        <f t="shared" si="136"/>
        <v>Nose Mount genset 1 plug, single engine, Tier 3, 32-34HP, Kubota / Carrier or Yanmar</v>
      </c>
      <c r="E248" s="85" t="str">
        <f t="shared" si="137"/>
        <v>tons/yr</v>
      </c>
      <c r="G248" s="11">
        <f t="shared" si="134"/>
        <v>777.18411412207422</v>
      </c>
      <c r="I248" s="38">
        <f t="shared" si="138"/>
        <v>22.636430508409937</v>
      </c>
      <c r="J248" s="38">
        <f t="shared" si="135"/>
        <v>37.727384180683231</v>
      </c>
      <c r="K248" s="38">
        <f t="shared" si="135"/>
        <v>37.727384180683231</v>
      </c>
      <c r="L248" s="38">
        <f t="shared" si="135"/>
        <v>37.727384180683231</v>
      </c>
      <c r="M248" s="38">
        <f t="shared" si="135"/>
        <v>37.727384180683231</v>
      </c>
      <c r="N248" s="38">
        <f t="shared" si="135"/>
        <v>37.727384180683231</v>
      </c>
      <c r="O248" s="38">
        <f t="shared" si="135"/>
        <v>37.727384180683231</v>
      </c>
      <c r="P248" s="38">
        <f t="shared" si="135"/>
        <v>37.727384180683231</v>
      </c>
      <c r="Q248" s="38">
        <f t="shared" si="135"/>
        <v>37.727384180683231</v>
      </c>
      <c r="R248" s="38">
        <f t="shared" si="135"/>
        <v>37.727384180683231</v>
      </c>
      <c r="S248" s="38">
        <f t="shared" si="135"/>
        <v>37.727384180683231</v>
      </c>
      <c r="T248" s="38">
        <f t="shared" si="135"/>
        <v>37.727384180683231</v>
      </c>
      <c r="U248" s="38">
        <f t="shared" si="135"/>
        <v>37.727384180683231</v>
      </c>
      <c r="V248" s="38">
        <f t="shared" si="135"/>
        <v>37.727384180683231</v>
      </c>
      <c r="W248" s="38">
        <f t="shared" si="135"/>
        <v>37.727384180683231</v>
      </c>
      <c r="X248" s="38">
        <f t="shared" si="135"/>
        <v>37.727384180683231</v>
      </c>
      <c r="Y248" s="38">
        <f t="shared" si="135"/>
        <v>37.727384180683231</v>
      </c>
      <c r="Z248" s="38">
        <f t="shared" si="135"/>
        <v>37.727384180683231</v>
      </c>
      <c r="AA248" s="38">
        <f t="shared" si="135"/>
        <v>37.727384180683231</v>
      </c>
      <c r="AB248" s="38">
        <f t="shared" si="135"/>
        <v>37.727384180683231</v>
      </c>
      <c r="AC248" s="38">
        <f t="shared" si="135"/>
        <v>37.727384180683231</v>
      </c>
    </row>
    <row r="249" spans="3:29" x14ac:dyDescent="0.3">
      <c r="C249" s="93"/>
      <c r="D249" s="85" t="str">
        <f t="shared" si="136"/>
        <v>Reefer, electric</v>
      </c>
      <c r="E249" s="85" t="str">
        <f t="shared" si="137"/>
        <v>tons/yr</v>
      </c>
      <c r="G249" s="11">
        <f t="shared" si="134"/>
        <v>-13.387797799199994</v>
      </c>
      <c r="I249" s="38">
        <f t="shared" si="138"/>
        <v>-0.24868974239999997</v>
      </c>
      <c r="J249" s="38">
        <f t="shared" si="135"/>
        <v>-0.53882777519999991</v>
      </c>
      <c r="K249" s="38">
        <f t="shared" si="135"/>
        <v>-0.66317264639999995</v>
      </c>
      <c r="L249" s="38">
        <f t="shared" si="135"/>
        <v>-0.66317264639999995</v>
      </c>
      <c r="M249" s="38">
        <f t="shared" si="135"/>
        <v>-0.66317264639999995</v>
      </c>
      <c r="N249" s="38">
        <f t="shared" si="135"/>
        <v>-0.66317264639999995</v>
      </c>
      <c r="O249" s="38">
        <f t="shared" si="135"/>
        <v>-0.66317264639999995</v>
      </c>
      <c r="P249" s="38">
        <f t="shared" si="135"/>
        <v>-0.66317264639999995</v>
      </c>
      <c r="Q249" s="38">
        <f t="shared" si="135"/>
        <v>-0.66317264639999995</v>
      </c>
      <c r="R249" s="38">
        <f t="shared" si="135"/>
        <v>-0.66317264639999995</v>
      </c>
      <c r="S249" s="38">
        <f t="shared" si="135"/>
        <v>-0.66317264639999995</v>
      </c>
      <c r="T249" s="38">
        <f t="shared" ref="T249:AC249" si="139">T181-T113</f>
        <v>-0.66317264639999995</v>
      </c>
      <c r="U249" s="38">
        <f t="shared" si="139"/>
        <v>-0.66317264639999995</v>
      </c>
      <c r="V249" s="38">
        <f t="shared" si="139"/>
        <v>-0.66317264639999995</v>
      </c>
      <c r="W249" s="38">
        <f t="shared" si="139"/>
        <v>-0.66317264639999995</v>
      </c>
      <c r="X249" s="38">
        <f t="shared" si="139"/>
        <v>-0.66317264639999995</v>
      </c>
      <c r="Y249" s="38">
        <f t="shared" si="139"/>
        <v>-0.66317264639999995</v>
      </c>
      <c r="Z249" s="38">
        <f t="shared" si="139"/>
        <v>-0.66317264639999995</v>
      </c>
      <c r="AA249" s="38">
        <f t="shared" si="139"/>
        <v>-0.66317264639999995</v>
      </c>
      <c r="AB249" s="38">
        <f t="shared" si="139"/>
        <v>-0.66317264639999995</v>
      </c>
      <c r="AC249" s="38">
        <f t="shared" si="139"/>
        <v>-0.66317264639999995</v>
      </c>
    </row>
    <row r="250" spans="3:29" x14ac:dyDescent="0.3">
      <c r="C250" s="93"/>
      <c r="D250" s="31" t="str">
        <f t="shared" si="136"/>
        <v>TOTAL</v>
      </c>
      <c r="E250" s="85" t="str">
        <f t="shared" si="137"/>
        <v>tons/yr</v>
      </c>
      <c r="G250" s="72">
        <f t="shared" si="134"/>
        <v>1338.8922612315491</v>
      </c>
      <c r="I250" s="74">
        <f>SUM(I236:I249)</f>
        <v>27.634723109427597</v>
      </c>
      <c r="J250" s="74">
        <f t="shared" ref="J250:AC250" si="140">SUM(J236:J249)</f>
        <v>63.764462508549848</v>
      </c>
      <c r="K250" s="74">
        <f t="shared" si="140"/>
        <v>88.438317638673638</v>
      </c>
      <c r="L250" s="74">
        <f t="shared" si="140"/>
        <v>87.966228829883065</v>
      </c>
      <c r="M250" s="74">
        <f t="shared" si="140"/>
        <v>87.494139288863508</v>
      </c>
      <c r="N250" s="74">
        <f t="shared" si="140"/>
        <v>85.668677621495902</v>
      </c>
      <c r="O250" s="74">
        <f t="shared" si="140"/>
        <v>82.204690586557945</v>
      </c>
      <c r="P250" s="74">
        <f t="shared" si="140"/>
        <v>76.913516469811441</v>
      </c>
      <c r="Q250" s="74">
        <f t="shared" si="140"/>
        <v>71.775780690180653</v>
      </c>
      <c r="R250" s="74">
        <f t="shared" si="140"/>
        <v>66.638044910549866</v>
      </c>
      <c r="S250" s="74">
        <f t="shared" si="140"/>
        <v>61.500309130919049</v>
      </c>
      <c r="T250" s="74">
        <f t="shared" si="140"/>
        <v>56.998849480461502</v>
      </c>
      <c r="U250" s="74">
        <f t="shared" si="140"/>
        <v>53.543835662908393</v>
      </c>
      <c r="V250" s="74">
        <f t="shared" si="140"/>
        <v>53.543835662908393</v>
      </c>
      <c r="W250" s="74">
        <f t="shared" si="140"/>
        <v>53.543835662908393</v>
      </c>
      <c r="X250" s="74">
        <f t="shared" si="140"/>
        <v>53.543835662908393</v>
      </c>
      <c r="Y250" s="74">
        <f t="shared" si="140"/>
        <v>53.543835662908393</v>
      </c>
      <c r="Z250" s="74">
        <f t="shared" si="140"/>
        <v>53.543835662908393</v>
      </c>
      <c r="AA250" s="74">
        <f t="shared" si="140"/>
        <v>53.543835662908393</v>
      </c>
      <c r="AB250" s="74">
        <f t="shared" si="140"/>
        <v>53.543835662908393</v>
      </c>
      <c r="AC250" s="74">
        <f t="shared" si="140"/>
        <v>53.543835662908393</v>
      </c>
    </row>
    <row r="251" spans="3:29" x14ac:dyDescent="0.3">
      <c r="D251" s="85"/>
    </row>
    <row r="252" spans="3:29" s="85" customFormat="1" ht="14.4" customHeight="1" x14ac:dyDescent="0.3">
      <c r="C252" s="93" t="s">
        <v>378</v>
      </c>
      <c r="D252" s="31" t="s">
        <v>369</v>
      </c>
    </row>
    <row r="253" spans="3:29" s="85" customFormat="1" x14ac:dyDescent="0.3">
      <c r="C253" s="93"/>
      <c r="D253" s="85" t="str">
        <f>D236</f>
        <v>Top Pick</v>
      </c>
      <c r="E253" s="85" t="str">
        <f>E185</f>
        <v>tons/yr</v>
      </c>
      <c r="G253" s="11">
        <f t="shared" ref="G253:G267" si="141">SUM(I253:AC253)</f>
        <v>5.5014395410142987</v>
      </c>
      <c r="I253" s="38">
        <f>I185-I117</f>
        <v>8.4536457935014075E-2</v>
      </c>
      <c r="J253" s="38">
        <f t="shared" ref="J253:AC266" si="142">J185-J117</f>
        <v>0.29773961030163332</v>
      </c>
      <c r="K253" s="38">
        <f t="shared" si="142"/>
        <v>0.64614355455172312</v>
      </c>
      <c r="L253" s="38">
        <f t="shared" si="142"/>
        <v>0.64187425304346579</v>
      </c>
      <c r="M253" s="38">
        <f t="shared" si="142"/>
        <v>0.64101254327544466</v>
      </c>
      <c r="N253" s="38">
        <f t="shared" si="142"/>
        <v>0.6152881431203524</v>
      </c>
      <c r="O253" s="38">
        <f t="shared" si="142"/>
        <v>0.56185330518403354</v>
      </c>
      <c r="P253" s="38">
        <f t="shared" si="142"/>
        <v>0.47521166242786916</v>
      </c>
      <c r="Q253" s="38">
        <f t="shared" si="142"/>
        <v>0.38572802350450325</v>
      </c>
      <c r="R253" s="38">
        <f t="shared" si="142"/>
        <v>0.29624438458113755</v>
      </c>
      <c r="S253" s="38">
        <f t="shared" si="142"/>
        <v>0.20490143454680682</v>
      </c>
      <c r="T253" s="38">
        <f t="shared" si="142"/>
        <v>0.12665708598524325</v>
      </c>
      <c r="U253" s="38">
        <f t="shared" si="142"/>
        <v>5.8249898061896441E-2</v>
      </c>
      <c r="V253" s="38">
        <f t="shared" si="142"/>
        <v>5.8249898061896441E-2</v>
      </c>
      <c r="W253" s="38">
        <f t="shared" si="142"/>
        <v>5.8249898061896441E-2</v>
      </c>
      <c r="X253" s="38">
        <f t="shared" si="142"/>
        <v>5.8249898061896441E-2</v>
      </c>
      <c r="Y253" s="38">
        <f t="shared" si="142"/>
        <v>5.8249898061896441E-2</v>
      </c>
      <c r="Z253" s="38">
        <f t="shared" si="142"/>
        <v>5.8249898061896441E-2</v>
      </c>
      <c r="AA253" s="38">
        <f t="shared" si="142"/>
        <v>5.8249898061896441E-2</v>
      </c>
      <c r="AB253" s="38">
        <f t="shared" si="142"/>
        <v>5.8249898061896441E-2</v>
      </c>
      <c r="AC253" s="38">
        <f t="shared" si="142"/>
        <v>5.8249898061896441E-2</v>
      </c>
    </row>
    <row r="254" spans="3:29" s="85" customFormat="1" x14ac:dyDescent="0.3">
      <c r="C254" s="93"/>
      <c r="D254" s="85" t="str">
        <f t="shared" si="136"/>
        <v>RTGs, Hybrid</v>
      </c>
      <c r="E254" s="85" t="str">
        <f t="shared" ref="E254:E267" si="143">E186</f>
        <v>tons/yr</v>
      </c>
      <c r="G254" s="11">
        <f t="shared" si="141"/>
        <v>-0.20559650860330747</v>
      </c>
      <c r="I254" s="38">
        <f t="shared" ref="I254:X254" si="144">I186-I118</f>
        <v>-1.7423432932483693E-3</v>
      </c>
      <c r="J254" s="38">
        <f t="shared" si="144"/>
        <v>-5.2270298797451077E-3</v>
      </c>
      <c r="K254" s="38">
        <f t="shared" si="144"/>
        <v>-1.0454059759490215E-2</v>
      </c>
      <c r="L254" s="38">
        <f t="shared" si="144"/>
        <v>-1.0454059759490215E-2</v>
      </c>
      <c r="M254" s="38">
        <f t="shared" si="144"/>
        <v>-1.0454059759490215E-2</v>
      </c>
      <c r="N254" s="38">
        <f t="shared" si="144"/>
        <v>-1.0454059759490215E-2</v>
      </c>
      <c r="O254" s="38">
        <f t="shared" si="144"/>
        <v>-1.0454059759490215E-2</v>
      </c>
      <c r="P254" s="38">
        <f t="shared" si="144"/>
        <v>-1.0454059759490215E-2</v>
      </c>
      <c r="Q254" s="38">
        <f t="shared" si="144"/>
        <v>-1.0454059759490215E-2</v>
      </c>
      <c r="R254" s="38">
        <f t="shared" si="144"/>
        <v>-1.0454059759490215E-2</v>
      </c>
      <c r="S254" s="38">
        <f t="shared" si="144"/>
        <v>-1.0454059759490215E-2</v>
      </c>
      <c r="T254" s="38">
        <f t="shared" si="144"/>
        <v>-1.0454059759490215E-2</v>
      </c>
      <c r="U254" s="38">
        <f t="shared" si="144"/>
        <v>-1.0454059759490215E-2</v>
      </c>
      <c r="V254" s="38">
        <f t="shared" si="144"/>
        <v>-1.0454059759490215E-2</v>
      </c>
      <c r="W254" s="38">
        <f t="shared" si="144"/>
        <v>-1.0454059759490215E-2</v>
      </c>
      <c r="X254" s="38">
        <f t="shared" si="144"/>
        <v>-1.0454059759490215E-2</v>
      </c>
      <c r="Y254" s="38">
        <f t="shared" si="142"/>
        <v>-1.0454059759490215E-2</v>
      </c>
      <c r="Z254" s="38">
        <f t="shared" si="142"/>
        <v>-1.0454059759490215E-2</v>
      </c>
      <c r="AA254" s="38">
        <f t="shared" si="142"/>
        <v>-1.0454059759490215E-2</v>
      </c>
      <c r="AB254" s="38">
        <f t="shared" si="142"/>
        <v>-1.0454059759490215E-2</v>
      </c>
      <c r="AC254" s="38">
        <f t="shared" si="142"/>
        <v>-1.0454059759490215E-2</v>
      </c>
    </row>
    <row r="255" spans="3:29" s="85" customFormat="1" x14ac:dyDescent="0.3">
      <c r="C255" s="93"/>
      <c r="D255" s="85" t="str">
        <f t="shared" si="136"/>
        <v>Forklift, 10000 lb, Diesel</v>
      </c>
      <c r="E255" s="85" t="str">
        <f t="shared" si="143"/>
        <v>tons/yr</v>
      </c>
      <c r="G255" s="11">
        <f t="shared" si="141"/>
        <v>0.27531592507402136</v>
      </c>
      <c r="I255" s="38">
        <f t="shared" ref="I255" si="145">I187-I119</f>
        <v>1.3975427668732054E-3</v>
      </c>
      <c r="J255" s="38">
        <f t="shared" si="142"/>
        <v>8.3852566012392257E-3</v>
      </c>
      <c r="K255" s="38">
        <f t="shared" si="142"/>
        <v>1.3975427668732044E-2</v>
      </c>
      <c r="L255" s="38">
        <f t="shared" si="142"/>
        <v>1.3975427668732044E-2</v>
      </c>
      <c r="M255" s="38">
        <f t="shared" si="142"/>
        <v>1.3975427668732044E-2</v>
      </c>
      <c r="N255" s="38">
        <f t="shared" si="142"/>
        <v>1.3975427668732044E-2</v>
      </c>
      <c r="O255" s="38">
        <f t="shared" si="142"/>
        <v>1.3975427668732044E-2</v>
      </c>
      <c r="P255" s="38">
        <f t="shared" si="142"/>
        <v>1.3975427668732044E-2</v>
      </c>
      <c r="Q255" s="38">
        <f t="shared" si="142"/>
        <v>1.3975427668732044E-2</v>
      </c>
      <c r="R255" s="38">
        <f t="shared" si="142"/>
        <v>1.3975427668732044E-2</v>
      </c>
      <c r="S255" s="38">
        <f t="shared" si="142"/>
        <v>1.3975427668732044E-2</v>
      </c>
      <c r="T255" s="38">
        <f t="shared" si="142"/>
        <v>1.3975427668732044E-2</v>
      </c>
      <c r="U255" s="38">
        <f t="shared" si="142"/>
        <v>1.3975427668732044E-2</v>
      </c>
      <c r="V255" s="38">
        <f t="shared" si="142"/>
        <v>1.3975427668732044E-2</v>
      </c>
      <c r="W255" s="38">
        <f t="shared" si="142"/>
        <v>1.3975427668732044E-2</v>
      </c>
      <c r="X255" s="38">
        <f t="shared" si="142"/>
        <v>1.3975427668732044E-2</v>
      </c>
      <c r="Y255" s="38">
        <f t="shared" si="142"/>
        <v>1.3975427668732044E-2</v>
      </c>
      <c r="Z255" s="38">
        <f t="shared" si="142"/>
        <v>1.3975427668732044E-2</v>
      </c>
      <c r="AA255" s="38">
        <f t="shared" si="142"/>
        <v>1.3975427668732044E-2</v>
      </c>
      <c r="AB255" s="38">
        <f t="shared" si="142"/>
        <v>1.3975427668732044E-2</v>
      </c>
      <c r="AC255" s="38">
        <f t="shared" si="142"/>
        <v>1.3975427668732044E-2</v>
      </c>
    </row>
    <row r="256" spans="3:29" s="85" customFormat="1" x14ac:dyDescent="0.3">
      <c r="C256" s="93"/>
      <c r="D256" s="85" t="str">
        <f t="shared" si="136"/>
        <v>Forklift, 10000 lb, electric</v>
      </c>
      <c r="E256" s="85" t="str">
        <f t="shared" si="143"/>
        <v>tons/yr</v>
      </c>
      <c r="G256" s="11">
        <f t="shared" si="141"/>
        <v>-0.2165103546666666</v>
      </c>
      <c r="I256" s="38">
        <f t="shared" ref="I256" si="146">I188-I120</f>
        <v>-1.0990373333333329E-3</v>
      </c>
      <c r="J256" s="38">
        <f t="shared" si="142"/>
        <v>-6.5942239999999975E-3</v>
      </c>
      <c r="K256" s="38">
        <f t="shared" si="142"/>
        <v>-1.0990373333333329E-2</v>
      </c>
      <c r="L256" s="38">
        <f t="shared" si="142"/>
        <v>-1.0990373333333329E-2</v>
      </c>
      <c r="M256" s="38">
        <f t="shared" si="142"/>
        <v>-1.0990373333333329E-2</v>
      </c>
      <c r="N256" s="38">
        <f t="shared" si="142"/>
        <v>-1.0990373333333329E-2</v>
      </c>
      <c r="O256" s="38">
        <f t="shared" si="142"/>
        <v>-1.0990373333333329E-2</v>
      </c>
      <c r="P256" s="38">
        <f t="shared" si="142"/>
        <v>-1.0990373333333329E-2</v>
      </c>
      <c r="Q256" s="38">
        <f t="shared" si="142"/>
        <v>-1.0990373333333329E-2</v>
      </c>
      <c r="R256" s="38">
        <f t="shared" si="142"/>
        <v>-1.0990373333333329E-2</v>
      </c>
      <c r="S256" s="38">
        <f t="shared" si="142"/>
        <v>-1.0990373333333329E-2</v>
      </c>
      <c r="T256" s="38">
        <f t="shared" si="142"/>
        <v>-1.0990373333333329E-2</v>
      </c>
      <c r="U256" s="38">
        <f t="shared" si="142"/>
        <v>-1.0990373333333329E-2</v>
      </c>
      <c r="V256" s="38">
        <f t="shared" si="142"/>
        <v>-1.0990373333333329E-2</v>
      </c>
      <c r="W256" s="38">
        <f t="shared" si="142"/>
        <v>-1.0990373333333329E-2</v>
      </c>
      <c r="X256" s="38">
        <f t="shared" si="142"/>
        <v>-1.0990373333333329E-2</v>
      </c>
      <c r="Y256" s="38">
        <f t="shared" si="142"/>
        <v>-1.0990373333333329E-2</v>
      </c>
      <c r="Z256" s="38">
        <f t="shared" si="142"/>
        <v>-1.0990373333333329E-2</v>
      </c>
      <c r="AA256" s="38">
        <f t="shared" si="142"/>
        <v>-1.0990373333333329E-2</v>
      </c>
      <c r="AB256" s="38">
        <f t="shared" si="142"/>
        <v>-1.0990373333333329E-2</v>
      </c>
      <c r="AC256" s="38">
        <f t="shared" si="142"/>
        <v>-1.0990373333333329E-2</v>
      </c>
    </row>
    <row r="257" spans="3:29" s="85" customFormat="1" x14ac:dyDescent="0.3">
      <c r="C257" s="93"/>
      <c r="D257" s="85" t="str">
        <f t="shared" si="136"/>
        <v>Forklift, 18000 lb, Diesel</v>
      </c>
      <c r="E257" s="85" t="str">
        <f t="shared" si="143"/>
        <v>tons/yr</v>
      </c>
      <c r="G257" s="11">
        <f t="shared" si="141"/>
        <v>0.45420139923379149</v>
      </c>
      <c r="I257" s="38">
        <f t="shared" ref="I257" si="147">I189-I121</f>
        <v>0</v>
      </c>
      <c r="J257" s="38">
        <f t="shared" si="142"/>
        <v>1.1646189723943367E-2</v>
      </c>
      <c r="K257" s="38">
        <f t="shared" si="142"/>
        <v>2.3292379447886733E-2</v>
      </c>
      <c r="L257" s="38">
        <f t="shared" si="142"/>
        <v>2.3292379447886733E-2</v>
      </c>
      <c r="M257" s="38">
        <f t="shared" si="142"/>
        <v>2.3292379447886733E-2</v>
      </c>
      <c r="N257" s="38">
        <f t="shared" si="142"/>
        <v>2.3292379447886733E-2</v>
      </c>
      <c r="O257" s="38">
        <f t="shared" si="142"/>
        <v>2.3292379447886733E-2</v>
      </c>
      <c r="P257" s="38">
        <f t="shared" si="142"/>
        <v>2.3292379447886733E-2</v>
      </c>
      <c r="Q257" s="38">
        <f t="shared" si="142"/>
        <v>2.3292379447886733E-2</v>
      </c>
      <c r="R257" s="38">
        <f t="shared" si="142"/>
        <v>2.3292379447886733E-2</v>
      </c>
      <c r="S257" s="38">
        <f t="shared" si="142"/>
        <v>2.3292379447886733E-2</v>
      </c>
      <c r="T257" s="38">
        <f t="shared" si="142"/>
        <v>2.3292379447886733E-2</v>
      </c>
      <c r="U257" s="38">
        <f t="shared" si="142"/>
        <v>2.3292379447886733E-2</v>
      </c>
      <c r="V257" s="38">
        <f t="shared" si="142"/>
        <v>2.3292379447886733E-2</v>
      </c>
      <c r="W257" s="38">
        <f t="shared" si="142"/>
        <v>2.3292379447886733E-2</v>
      </c>
      <c r="X257" s="38">
        <f t="shared" si="142"/>
        <v>2.3292379447886733E-2</v>
      </c>
      <c r="Y257" s="38">
        <f t="shared" si="142"/>
        <v>2.3292379447886733E-2</v>
      </c>
      <c r="Z257" s="38">
        <f t="shared" si="142"/>
        <v>2.3292379447886733E-2</v>
      </c>
      <c r="AA257" s="38">
        <f t="shared" si="142"/>
        <v>2.3292379447886733E-2</v>
      </c>
      <c r="AB257" s="38">
        <f t="shared" si="142"/>
        <v>2.3292379447886733E-2</v>
      </c>
      <c r="AC257" s="38">
        <f t="shared" si="142"/>
        <v>2.3292379447886733E-2</v>
      </c>
    </row>
    <row r="258" spans="3:29" s="85" customFormat="1" x14ac:dyDescent="0.3">
      <c r="C258" s="93"/>
      <c r="D258" s="85" t="str">
        <f t="shared" si="136"/>
        <v>Forklift, 18000 lb, electric</v>
      </c>
      <c r="E258" s="85" t="str">
        <f t="shared" si="143"/>
        <v>tons/yr</v>
      </c>
      <c r="G258" s="11">
        <f t="shared" si="141"/>
        <v>-0.24492832000000009</v>
      </c>
      <c r="I258" s="38">
        <f t="shared" ref="I258" si="148">I190-I122</f>
        <v>0</v>
      </c>
      <c r="J258" s="38">
        <f t="shared" si="142"/>
        <v>-6.2802133333333329E-3</v>
      </c>
      <c r="K258" s="38">
        <f t="shared" si="142"/>
        <v>-1.2560426666666666E-2</v>
      </c>
      <c r="L258" s="38">
        <f t="shared" si="142"/>
        <v>-1.2560426666666666E-2</v>
      </c>
      <c r="M258" s="38">
        <f t="shared" si="142"/>
        <v>-1.2560426666666666E-2</v>
      </c>
      <c r="N258" s="38">
        <f t="shared" si="142"/>
        <v>-1.2560426666666666E-2</v>
      </c>
      <c r="O258" s="38">
        <f t="shared" si="142"/>
        <v>-1.2560426666666666E-2</v>
      </c>
      <c r="P258" s="38">
        <f t="shared" si="142"/>
        <v>-1.2560426666666666E-2</v>
      </c>
      <c r="Q258" s="38">
        <f t="shared" si="142"/>
        <v>-1.2560426666666666E-2</v>
      </c>
      <c r="R258" s="38">
        <f t="shared" si="142"/>
        <v>-1.2560426666666666E-2</v>
      </c>
      <c r="S258" s="38">
        <f t="shared" si="142"/>
        <v>-1.2560426666666666E-2</v>
      </c>
      <c r="T258" s="38">
        <f t="shared" si="142"/>
        <v>-1.2560426666666666E-2</v>
      </c>
      <c r="U258" s="38">
        <f t="shared" si="142"/>
        <v>-1.2560426666666666E-2</v>
      </c>
      <c r="V258" s="38">
        <f t="shared" si="142"/>
        <v>-1.2560426666666666E-2</v>
      </c>
      <c r="W258" s="38">
        <f t="shared" si="142"/>
        <v>-1.2560426666666666E-2</v>
      </c>
      <c r="X258" s="38">
        <f t="shared" si="142"/>
        <v>-1.2560426666666666E-2</v>
      </c>
      <c r="Y258" s="38">
        <f t="shared" si="142"/>
        <v>-1.2560426666666666E-2</v>
      </c>
      <c r="Z258" s="38">
        <f t="shared" si="142"/>
        <v>-1.2560426666666666E-2</v>
      </c>
      <c r="AA258" s="38">
        <f t="shared" si="142"/>
        <v>-1.2560426666666666E-2</v>
      </c>
      <c r="AB258" s="38">
        <f t="shared" si="142"/>
        <v>-1.2560426666666666E-2</v>
      </c>
      <c r="AC258" s="38">
        <f t="shared" si="142"/>
        <v>-1.2560426666666666E-2</v>
      </c>
    </row>
    <row r="259" spans="3:29" s="85" customFormat="1" x14ac:dyDescent="0.3">
      <c r="C259" s="93"/>
      <c r="D259" s="85" t="str">
        <f t="shared" si="136"/>
        <v>Forklift, 36000 lb, diesel</v>
      </c>
      <c r="E259" s="85" t="str">
        <f t="shared" si="143"/>
        <v>tons/yr</v>
      </c>
      <c r="G259" s="11">
        <f t="shared" si="141"/>
        <v>4.0739247582450666</v>
      </c>
      <c r="I259" s="38">
        <f t="shared" ref="I259" si="149">I191-I123</f>
        <v>2.0679821107842972E-2</v>
      </c>
      <c r="J259" s="38">
        <f t="shared" si="142"/>
        <v>0.12407892664705782</v>
      </c>
      <c r="K259" s="38">
        <f t="shared" si="142"/>
        <v>0.20679821107842969</v>
      </c>
      <c r="L259" s="38">
        <f t="shared" si="142"/>
        <v>0.20679821107842969</v>
      </c>
      <c r="M259" s="38">
        <f t="shared" si="142"/>
        <v>0.20679821107842969</v>
      </c>
      <c r="N259" s="38">
        <f t="shared" si="142"/>
        <v>0.20679821107842969</v>
      </c>
      <c r="O259" s="38">
        <f t="shared" si="142"/>
        <v>0.20679821107842969</v>
      </c>
      <c r="P259" s="38">
        <f t="shared" si="142"/>
        <v>0.20679821107842969</v>
      </c>
      <c r="Q259" s="38">
        <f t="shared" si="142"/>
        <v>0.20679821107842969</v>
      </c>
      <c r="R259" s="38">
        <f t="shared" si="142"/>
        <v>0.20679821107842969</v>
      </c>
      <c r="S259" s="38">
        <f t="shared" si="142"/>
        <v>0.20679821107842969</v>
      </c>
      <c r="T259" s="38">
        <f t="shared" si="142"/>
        <v>0.20679821107842969</v>
      </c>
      <c r="U259" s="38">
        <f t="shared" si="142"/>
        <v>0.20679821107842969</v>
      </c>
      <c r="V259" s="38">
        <f t="shared" si="142"/>
        <v>0.20679821107842969</v>
      </c>
      <c r="W259" s="38">
        <f t="shared" si="142"/>
        <v>0.20679821107842969</v>
      </c>
      <c r="X259" s="38">
        <f t="shared" si="142"/>
        <v>0.20679821107842969</v>
      </c>
      <c r="Y259" s="38">
        <f t="shared" si="142"/>
        <v>0.20679821107842969</v>
      </c>
      <c r="Z259" s="38">
        <f t="shared" si="142"/>
        <v>0.20679821107842969</v>
      </c>
      <c r="AA259" s="38">
        <f t="shared" si="142"/>
        <v>0.20679821107842969</v>
      </c>
      <c r="AB259" s="38">
        <f t="shared" si="142"/>
        <v>0.20679821107842969</v>
      </c>
      <c r="AC259" s="38">
        <f t="shared" si="142"/>
        <v>0.20679821107842969</v>
      </c>
    </row>
    <row r="260" spans="3:29" s="85" customFormat="1" x14ac:dyDescent="0.3">
      <c r="C260" s="93"/>
      <c r="D260" s="85" t="str">
        <f t="shared" si="136"/>
        <v>Forklift, 36000 lb, electric</v>
      </c>
      <c r="E260" s="85" t="str">
        <f t="shared" si="143"/>
        <v>tons/yr</v>
      </c>
      <c r="G260" s="11">
        <f t="shared" si="141"/>
        <v>-0.30930050666666653</v>
      </c>
      <c r="I260" s="38">
        <f t="shared" ref="I260" si="150">I192-I124</f>
        <v>-1.570053333333333E-3</v>
      </c>
      <c r="J260" s="38">
        <f t="shared" si="142"/>
        <v>-9.4203199999999977E-3</v>
      </c>
      <c r="K260" s="38">
        <f t="shared" si="142"/>
        <v>-1.5700533333333332E-2</v>
      </c>
      <c r="L260" s="38">
        <f t="shared" si="142"/>
        <v>-1.5700533333333332E-2</v>
      </c>
      <c r="M260" s="38">
        <f t="shared" si="142"/>
        <v>-1.5700533333333332E-2</v>
      </c>
      <c r="N260" s="38">
        <f t="shared" si="142"/>
        <v>-1.5700533333333332E-2</v>
      </c>
      <c r="O260" s="38">
        <f t="shared" si="142"/>
        <v>-1.5700533333333332E-2</v>
      </c>
      <c r="P260" s="38">
        <f t="shared" si="142"/>
        <v>-1.5700533333333332E-2</v>
      </c>
      <c r="Q260" s="38">
        <f t="shared" si="142"/>
        <v>-1.5700533333333332E-2</v>
      </c>
      <c r="R260" s="38">
        <f t="shared" si="142"/>
        <v>-1.5700533333333332E-2</v>
      </c>
      <c r="S260" s="38">
        <f t="shared" si="142"/>
        <v>-1.5700533333333332E-2</v>
      </c>
      <c r="T260" s="38">
        <f t="shared" si="142"/>
        <v>-1.5700533333333332E-2</v>
      </c>
      <c r="U260" s="38">
        <f t="shared" si="142"/>
        <v>-1.5700533333333332E-2</v>
      </c>
      <c r="V260" s="38">
        <f t="shared" si="142"/>
        <v>-1.5700533333333332E-2</v>
      </c>
      <c r="W260" s="38">
        <f t="shared" si="142"/>
        <v>-1.5700533333333332E-2</v>
      </c>
      <c r="X260" s="38">
        <f t="shared" si="142"/>
        <v>-1.5700533333333332E-2</v>
      </c>
      <c r="Y260" s="38">
        <f t="shared" si="142"/>
        <v>-1.5700533333333332E-2</v>
      </c>
      <c r="Z260" s="38">
        <f t="shared" si="142"/>
        <v>-1.5700533333333332E-2</v>
      </c>
      <c r="AA260" s="38">
        <f t="shared" si="142"/>
        <v>-1.5700533333333332E-2</v>
      </c>
      <c r="AB260" s="38">
        <f t="shared" si="142"/>
        <v>-1.5700533333333332E-2</v>
      </c>
      <c r="AC260" s="38">
        <f t="shared" si="142"/>
        <v>-1.5700533333333332E-2</v>
      </c>
    </row>
    <row r="261" spans="3:29" s="85" customFormat="1" x14ac:dyDescent="0.3">
      <c r="C261" s="93"/>
      <c r="D261" s="85" t="str">
        <f t="shared" si="136"/>
        <v>Yard Tractor, Diesel</v>
      </c>
      <c r="E261" s="85" t="str">
        <f t="shared" si="143"/>
        <v>tons/yr</v>
      </c>
      <c r="G261" s="11">
        <f t="shared" si="141"/>
        <v>0.23901564632621458</v>
      </c>
      <c r="I261" s="38">
        <f t="shared" ref="I261" si="151">I193-I125</f>
        <v>1.2132773925188564E-3</v>
      </c>
      <c r="J261" s="38">
        <f t="shared" si="142"/>
        <v>7.2796643551131376E-3</v>
      </c>
      <c r="K261" s="38">
        <f t="shared" si="142"/>
        <v>1.2132773925188562E-2</v>
      </c>
      <c r="L261" s="38">
        <f t="shared" si="142"/>
        <v>1.2132773925188562E-2</v>
      </c>
      <c r="M261" s="38">
        <f t="shared" si="142"/>
        <v>1.2132773925188562E-2</v>
      </c>
      <c r="N261" s="38">
        <f t="shared" si="142"/>
        <v>1.2132773925188562E-2</v>
      </c>
      <c r="O261" s="38">
        <f t="shared" si="142"/>
        <v>1.2132773925188562E-2</v>
      </c>
      <c r="P261" s="38">
        <f t="shared" si="142"/>
        <v>1.2132773925188562E-2</v>
      </c>
      <c r="Q261" s="38">
        <f t="shared" si="142"/>
        <v>1.2132773925188562E-2</v>
      </c>
      <c r="R261" s="38">
        <f t="shared" si="142"/>
        <v>1.2132773925188562E-2</v>
      </c>
      <c r="S261" s="38">
        <f t="shared" si="142"/>
        <v>1.2132773925188562E-2</v>
      </c>
      <c r="T261" s="38">
        <f t="shared" si="142"/>
        <v>1.2132773925188562E-2</v>
      </c>
      <c r="U261" s="38">
        <f t="shared" si="142"/>
        <v>1.2132773925188562E-2</v>
      </c>
      <c r="V261" s="38">
        <f t="shared" si="142"/>
        <v>1.2132773925188562E-2</v>
      </c>
      <c r="W261" s="38">
        <f t="shared" si="142"/>
        <v>1.2132773925188562E-2</v>
      </c>
      <c r="X261" s="38">
        <f t="shared" si="142"/>
        <v>1.2132773925188562E-2</v>
      </c>
      <c r="Y261" s="38">
        <f t="shared" si="142"/>
        <v>1.2132773925188562E-2</v>
      </c>
      <c r="Z261" s="38">
        <f t="shared" si="142"/>
        <v>1.2132773925188562E-2</v>
      </c>
      <c r="AA261" s="38">
        <f t="shared" si="142"/>
        <v>1.2132773925188562E-2</v>
      </c>
      <c r="AB261" s="38">
        <f t="shared" si="142"/>
        <v>1.2132773925188562E-2</v>
      </c>
      <c r="AC261" s="38">
        <f t="shared" si="142"/>
        <v>1.2132773925188562E-2</v>
      </c>
    </row>
    <row r="262" spans="3:29" s="85" customFormat="1" x14ac:dyDescent="0.3">
      <c r="C262" s="93"/>
      <c r="D262" s="85" t="str">
        <f t="shared" si="136"/>
        <v>Yard Tractor, electric</v>
      </c>
      <c r="E262" s="85" t="str">
        <f t="shared" si="143"/>
        <v>tons/yr</v>
      </c>
      <c r="G262" s="11">
        <f t="shared" si="141"/>
        <v>-0.32021699513725471</v>
      </c>
      <c r="I262" s="38">
        <f t="shared" ref="I262" si="152">I194-I126</f>
        <v>-1.6254669803921565E-3</v>
      </c>
      <c r="J262" s="38">
        <f t="shared" si="142"/>
        <v>-9.7528018823529392E-3</v>
      </c>
      <c r="K262" s="38">
        <f t="shared" si="142"/>
        <v>-1.6254669803921561E-2</v>
      </c>
      <c r="L262" s="38">
        <f t="shared" si="142"/>
        <v>-1.6254669803921561E-2</v>
      </c>
      <c r="M262" s="38">
        <f t="shared" si="142"/>
        <v>-1.6254669803921561E-2</v>
      </c>
      <c r="N262" s="38">
        <f t="shared" si="142"/>
        <v>-1.6254669803921561E-2</v>
      </c>
      <c r="O262" s="38">
        <f t="shared" si="142"/>
        <v>-1.6254669803921561E-2</v>
      </c>
      <c r="P262" s="38">
        <f t="shared" si="142"/>
        <v>-1.6254669803921561E-2</v>
      </c>
      <c r="Q262" s="38">
        <f t="shared" si="142"/>
        <v>-1.6254669803921561E-2</v>
      </c>
      <c r="R262" s="38">
        <f t="shared" si="142"/>
        <v>-1.6254669803921561E-2</v>
      </c>
      <c r="S262" s="38">
        <f t="shared" si="142"/>
        <v>-1.6254669803921561E-2</v>
      </c>
      <c r="T262" s="38">
        <f t="shared" si="142"/>
        <v>-1.6254669803921561E-2</v>
      </c>
      <c r="U262" s="38">
        <f t="shared" si="142"/>
        <v>-1.6254669803921561E-2</v>
      </c>
      <c r="V262" s="38">
        <f t="shared" si="142"/>
        <v>-1.6254669803921561E-2</v>
      </c>
      <c r="W262" s="38">
        <f t="shared" si="142"/>
        <v>-1.6254669803921561E-2</v>
      </c>
      <c r="X262" s="38">
        <f t="shared" si="142"/>
        <v>-1.6254669803921561E-2</v>
      </c>
      <c r="Y262" s="38">
        <f t="shared" si="142"/>
        <v>-1.6254669803921561E-2</v>
      </c>
      <c r="Z262" s="38">
        <f t="shared" si="142"/>
        <v>-1.6254669803921561E-2</v>
      </c>
      <c r="AA262" s="38">
        <f t="shared" si="142"/>
        <v>-1.6254669803921561E-2</v>
      </c>
      <c r="AB262" s="38">
        <f t="shared" si="142"/>
        <v>-1.6254669803921561E-2</v>
      </c>
      <c r="AC262" s="38">
        <f t="shared" si="142"/>
        <v>-1.6254669803921561E-2</v>
      </c>
    </row>
    <row r="263" spans="3:29" s="85" customFormat="1" x14ac:dyDescent="0.3">
      <c r="C263" s="93"/>
      <c r="D263" s="85" t="str">
        <f t="shared" si="136"/>
        <v>Reefer Power Packs, 30 plugs, dual engine, Tier 3, 400 HP CAT</v>
      </c>
      <c r="E263" s="85" t="str">
        <f t="shared" si="143"/>
        <v>tons/yr</v>
      </c>
      <c r="G263" s="11">
        <f t="shared" si="141"/>
        <v>3.465617430470763E-3</v>
      </c>
      <c r="I263" s="38">
        <f t="shared" ref="I263" si="153">I195-I127</f>
        <v>0</v>
      </c>
      <c r="J263" s="38">
        <f t="shared" si="142"/>
        <v>0</v>
      </c>
      <c r="K263" s="38">
        <f t="shared" si="142"/>
        <v>1.824009173931981E-4</v>
      </c>
      <c r="L263" s="38">
        <f t="shared" si="142"/>
        <v>1.824009173931981E-4</v>
      </c>
      <c r="M263" s="38">
        <f t="shared" si="142"/>
        <v>1.824009173931981E-4</v>
      </c>
      <c r="N263" s="38">
        <f t="shared" si="142"/>
        <v>1.824009173931981E-4</v>
      </c>
      <c r="O263" s="38">
        <f t="shared" si="142"/>
        <v>1.824009173931981E-4</v>
      </c>
      <c r="P263" s="38">
        <f t="shared" si="142"/>
        <v>1.824009173931981E-4</v>
      </c>
      <c r="Q263" s="38">
        <f t="shared" si="142"/>
        <v>1.824009173931981E-4</v>
      </c>
      <c r="R263" s="38">
        <f t="shared" si="142"/>
        <v>1.824009173931981E-4</v>
      </c>
      <c r="S263" s="38">
        <f t="shared" si="142"/>
        <v>1.824009173931981E-4</v>
      </c>
      <c r="T263" s="38">
        <f t="shared" si="142"/>
        <v>1.824009173931981E-4</v>
      </c>
      <c r="U263" s="38">
        <f t="shared" si="142"/>
        <v>1.824009173931981E-4</v>
      </c>
      <c r="V263" s="38">
        <f t="shared" si="142"/>
        <v>1.824009173931981E-4</v>
      </c>
      <c r="W263" s="38">
        <f t="shared" si="142"/>
        <v>1.824009173931981E-4</v>
      </c>
      <c r="X263" s="38">
        <f t="shared" si="142"/>
        <v>1.824009173931981E-4</v>
      </c>
      <c r="Y263" s="38">
        <f t="shared" si="142"/>
        <v>1.824009173931981E-4</v>
      </c>
      <c r="Z263" s="38">
        <f t="shared" si="142"/>
        <v>1.824009173931981E-4</v>
      </c>
      <c r="AA263" s="38">
        <f t="shared" si="142"/>
        <v>1.824009173931981E-4</v>
      </c>
      <c r="AB263" s="38">
        <f t="shared" si="142"/>
        <v>1.824009173931981E-4</v>
      </c>
      <c r="AC263" s="38">
        <f t="shared" si="142"/>
        <v>1.824009173931981E-4</v>
      </c>
    </row>
    <row r="264" spans="3:29" s="85" customFormat="1" x14ac:dyDescent="0.3">
      <c r="C264" s="93"/>
      <c r="D264" s="85" t="str">
        <f t="shared" si="136"/>
        <v>Reefer Power Packs, 30 plugs, single engine, Tier 3 400 HP CAT</v>
      </c>
      <c r="E264" s="85" t="str">
        <f t="shared" si="143"/>
        <v>tons/yr</v>
      </c>
      <c r="G264" s="11">
        <f t="shared" si="141"/>
        <v>2.9847422846159687E-3</v>
      </c>
      <c r="I264" s="38">
        <f t="shared" ref="I264" si="154">I196-I128</f>
        <v>0</v>
      </c>
      <c r="J264" s="38">
        <f t="shared" si="142"/>
        <v>1.4923711423079844E-4</v>
      </c>
      <c r="K264" s="38">
        <f t="shared" si="142"/>
        <v>1.4923711423079844E-4</v>
      </c>
      <c r="L264" s="38">
        <f t="shared" si="142"/>
        <v>1.4923711423079844E-4</v>
      </c>
      <c r="M264" s="38">
        <f t="shared" si="142"/>
        <v>1.4923711423079844E-4</v>
      </c>
      <c r="N264" s="38">
        <f t="shared" si="142"/>
        <v>1.4923711423079844E-4</v>
      </c>
      <c r="O264" s="38">
        <f t="shared" si="142"/>
        <v>1.4923711423079844E-4</v>
      </c>
      <c r="P264" s="38">
        <f t="shared" si="142"/>
        <v>1.4923711423079844E-4</v>
      </c>
      <c r="Q264" s="38">
        <f t="shared" si="142"/>
        <v>1.4923711423079844E-4</v>
      </c>
      <c r="R264" s="38">
        <f t="shared" si="142"/>
        <v>1.4923711423079844E-4</v>
      </c>
      <c r="S264" s="38">
        <f t="shared" si="142"/>
        <v>1.4923711423079844E-4</v>
      </c>
      <c r="T264" s="38">
        <f t="shared" si="142"/>
        <v>1.4923711423079844E-4</v>
      </c>
      <c r="U264" s="38">
        <f t="shared" si="142"/>
        <v>1.4923711423079844E-4</v>
      </c>
      <c r="V264" s="38">
        <f t="shared" si="142"/>
        <v>1.4923711423079844E-4</v>
      </c>
      <c r="W264" s="38">
        <f t="shared" si="142"/>
        <v>1.4923711423079844E-4</v>
      </c>
      <c r="X264" s="38">
        <f t="shared" si="142"/>
        <v>1.4923711423079844E-4</v>
      </c>
      <c r="Y264" s="38">
        <f t="shared" si="142"/>
        <v>1.4923711423079844E-4</v>
      </c>
      <c r="Z264" s="38">
        <f t="shared" si="142"/>
        <v>1.4923711423079844E-4</v>
      </c>
      <c r="AA264" s="38">
        <f t="shared" si="142"/>
        <v>1.4923711423079844E-4</v>
      </c>
      <c r="AB264" s="38">
        <f t="shared" si="142"/>
        <v>1.4923711423079844E-4</v>
      </c>
      <c r="AC264" s="38">
        <f t="shared" si="142"/>
        <v>1.4923711423079844E-4</v>
      </c>
    </row>
    <row r="265" spans="3:29" s="85" customFormat="1" x14ac:dyDescent="0.3">
      <c r="C265" s="93"/>
      <c r="D265" s="85" t="str">
        <f t="shared" si="136"/>
        <v>Nose Mount genset 1 plug, single engine, Tier 3, 32-34HP, Kubota / Carrier or Yanmar</v>
      </c>
      <c r="E265" s="85" t="str">
        <f t="shared" si="143"/>
        <v>tons/yr</v>
      </c>
      <c r="G265" s="11">
        <f t="shared" si="141"/>
        <v>0.21525640903366219</v>
      </c>
      <c r="I265" s="38">
        <f t="shared" ref="I265" si="155">I197-I129</f>
        <v>6.2696041466115179E-3</v>
      </c>
      <c r="J265" s="38">
        <f t="shared" si="142"/>
        <v>1.0449340244352531E-2</v>
      </c>
      <c r="K265" s="38">
        <f t="shared" si="142"/>
        <v>1.0449340244352531E-2</v>
      </c>
      <c r="L265" s="38">
        <f t="shared" si="142"/>
        <v>1.0449340244352531E-2</v>
      </c>
      <c r="M265" s="38">
        <f t="shared" si="142"/>
        <v>1.0449340244352531E-2</v>
      </c>
      <c r="N265" s="38">
        <f t="shared" si="142"/>
        <v>1.0449340244352531E-2</v>
      </c>
      <c r="O265" s="38">
        <f t="shared" si="142"/>
        <v>1.0449340244352531E-2</v>
      </c>
      <c r="P265" s="38">
        <f t="shared" si="142"/>
        <v>1.0449340244352531E-2</v>
      </c>
      <c r="Q265" s="38">
        <f t="shared" si="142"/>
        <v>1.0449340244352531E-2</v>
      </c>
      <c r="R265" s="38">
        <f t="shared" si="142"/>
        <v>1.0449340244352531E-2</v>
      </c>
      <c r="S265" s="38">
        <f t="shared" si="142"/>
        <v>1.0449340244352531E-2</v>
      </c>
      <c r="T265" s="38">
        <f t="shared" si="142"/>
        <v>1.0449340244352531E-2</v>
      </c>
      <c r="U265" s="38">
        <f t="shared" si="142"/>
        <v>1.0449340244352531E-2</v>
      </c>
      <c r="V265" s="38">
        <f t="shared" si="142"/>
        <v>1.0449340244352531E-2</v>
      </c>
      <c r="W265" s="38">
        <f t="shared" si="142"/>
        <v>1.0449340244352531E-2</v>
      </c>
      <c r="X265" s="38">
        <f t="shared" si="142"/>
        <v>1.0449340244352531E-2</v>
      </c>
      <c r="Y265" s="38">
        <f t="shared" si="142"/>
        <v>1.0449340244352531E-2</v>
      </c>
      <c r="Z265" s="38">
        <f t="shared" si="142"/>
        <v>1.0449340244352531E-2</v>
      </c>
      <c r="AA265" s="38">
        <f t="shared" si="142"/>
        <v>1.0449340244352531E-2</v>
      </c>
      <c r="AB265" s="38">
        <f t="shared" si="142"/>
        <v>1.0449340244352531E-2</v>
      </c>
      <c r="AC265" s="38">
        <f t="shared" si="142"/>
        <v>1.0449340244352531E-2</v>
      </c>
    </row>
    <row r="266" spans="3:29" s="85" customFormat="1" x14ac:dyDescent="0.3">
      <c r="C266" s="93"/>
      <c r="D266" s="85" t="str">
        <f t="shared" si="136"/>
        <v>Reefer, electric</v>
      </c>
      <c r="E266" s="85" t="str">
        <f t="shared" si="143"/>
        <v>tons/yr</v>
      </c>
      <c r="G266" s="11">
        <f t="shared" si="141"/>
        <v>-3.0076059639175012</v>
      </c>
      <c r="I266" s="38">
        <f t="shared" ref="I266" si="156">I198-I130</f>
        <v>-5.586884143499999E-2</v>
      </c>
      <c r="J266" s="38">
        <f t="shared" si="142"/>
        <v>-0.12104915644249997</v>
      </c>
      <c r="K266" s="38">
        <f t="shared" si="142"/>
        <v>-0.14898357715999999</v>
      </c>
      <c r="L266" s="38">
        <f t="shared" si="142"/>
        <v>-0.14898357715999999</v>
      </c>
      <c r="M266" s="38">
        <f t="shared" si="142"/>
        <v>-0.14898357715999999</v>
      </c>
      <c r="N266" s="38">
        <f t="shared" si="142"/>
        <v>-0.14898357715999999</v>
      </c>
      <c r="O266" s="38">
        <f t="shared" si="142"/>
        <v>-0.14898357715999999</v>
      </c>
      <c r="P266" s="38">
        <f t="shared" si="142"/>
        <v>-0.14898357715999999</v>
      </c>
      <c r="Q266" s="38">
        <f t="shared" si="142"/>
        <v>-0.14898357715999999</v>
      </c>
      <c r="R266" s="38">
        <f t="shared" si="142"/>
        <v>-0.14898357715999999</v>
      </c>
      <c r="S266" s="38">
        <f t="shared" si="142"/>
        <v>-0.14898357715999999</v>
      </c>
      <c r="T266" s="38">
        <f t="shared" ref="T266:AC266" si="157">T198-T130</f>
        <v>-0.14898357715999999</v>
      </c>
      <c r="U266" s="38">
        <f t="shared" si="157"/>
        <v>-0.14898357715999999</v>
      </c>
      <c r="V266" s="38">
        <f t="shared" si="157"/>
        <v>-0.14898357715999999</v>
      </c>
      <c r="W266" s="38">
        <f t="shared" si="157"/>
        <v>-0.14898357715999999</v>
      </c>
      <c r="X266" s="38">
        <f t="shared" si="157"/>
        <v>-0.14898357715999999</v>
      </c>
      <c r="Y266" s="38">
        <f t="shared" si="157"/>
        <v>-0.14898357715999999</v>
      </c>
      <c r="Z266" s="38">
        <f t="shared" si="157"/>
        <v>-0.14898357715999999</v>
      </c>
      <c r="AA266" s="38">
        <f t="shared" si="157"/>
        <v>-0.14898357715999999</v>
      </c>
      <c r="AB266" s="38">
        <f t="shared" si="157"/>
        <v>-0.14898357715999999</v>
      </c>
      <c r="AC266" s="38">
        <f t="shared" si="157"/>
        <v>-0.14898357715999999</v>
      </c>
    </row>
    <row r="267" spans="3:29" s="85" customFormat="1" x14ac:dyDescent="0.3">
      <c r="C267" s="93"/>
      <c r="D267" s="31" t="str">
        <f t="shared" si="136"/>
        <v>TOTAL</v>
      </c>
      <c r="E267" s="85" t="str">
        <f t="shared" si="143"/>
        <v>tons/yr</v>
      </c>
      <c r="G267" s="72">
        <f t="shared" si="141"/>
        <v>6.4614453896507422</v>
      </c>
      <c r="I267" s="74">
        <f>SUM(I253:I266)</f>
        <v>5.2190960973553448E-2</v>
      </c>
      <c r="J267" s="74">
        <f t="shared" ref="J267" si="158">SUM(J253:J266)</f>
        <v>0.30140447944963888</v>
      </c>
      <c r="K267" s="74">
        <f t="shared" ref="K267" si="159">SUM(K253:K266)</f>
        <v>0.69817968489119153</v>
      </c>
      <c r="L267" s="74">
        <f t="shared" ref="L267" si="160">SUM(L253:L266)</f>
        <v>0.6939103833829342</v>
      </c>
      <c r="M267" s="74">
        <f t="shared" ref="M267" si="161">SUM(M253:M266)</f>
        <v>0.69304867361491307</v>
      </c>
      <c r="N267" s="74">
        <f t="shared" ref="N267" si="162">SUM(N253:N266)</f>
        <v>0.66732427345982082</v>
      </c>
      <c r="O267" s="74">
        <f t="shared" ref="O267" si="163">SUM(O253:O266)</f>
        <v>0.61388943552350195</v>
      </c>
      <c r="P267" s="74">
        <f t="shared" ref="P267" si="164">SUM(P253:P266)</f>
        <v>0.52724779276733758</v>
      </c>
      <c r="Q267" s="74">
        <f t="shared" ref="Q267" si="165">SUM(Q253:Q266)</f>
        <v>0.43776415384397172</v>
      </c>
      <c r="R267" s="74">
        <f t="shared" ref="R267" si="166">SUM(R253:R266)</f>
        <v>0.34828051492060602</v>
      </c>
      <c r="S267" s="74">
        <f t="shared" ref="S267" si="167">SUM(S253:S266)</f>
        <v>0.25693756488627528</v>
      </c>
      <c r="T267" s="74">
        <f t="shared" ref="T267" si="168">SUM(T253:T266)</f>
        <v>0.1786932163247118</v>
      </c>
      <c r="U267" s="74">
        <f t="shared" ref="U267" si="169">SUM(U253:U266)</f>
        <v>0.11028602840136487</v>
      </c>
      <c r="V267" s="74">
        <f t="shared" ref="V267" si="170">SUM(V253:V266)</f>
        <v>0.11028602840136487</v>
      </c>
      <c r="W267" s="74">
        <f t="shared" ref="W267" si="171">SUM(W253:W266)</f>
        <v>0.11028602840136487</v>
      </c>
      <c r="X267" s="74">
        <f t="shared" ref="X267" si="172">SUM(X253:X266)</f>
        <v>0.11028602840136487</v>
      </c>
      <c r="Y267" s="74">
        <f t="shared" ref="Y267" si="173">SUM(Y253:Y266)</f>
        <v>0.11028602840136487</v>
      </c>
      <c r="Z267" s="74">
        <f t="shared" ref="Z267" si="174">SUM(Z253:Z266)</f>
        <v>0.11028602840136487</v>
      </c>
      <c r="AA267" s="74">
        <f t="shared" ref="AA267" si="175">SUM(AA253:AA266)</f>
        <v>0.11028602840136487</v>
      </c>
      <c r="AB267" s="74">
        <f t="shared" ref="AB267" si="176">SUM(AB253:AB266)</f>
        <v>0.11028602840136487</v>
      </c>
      <c r="AC267" s="74">
        <f t="shared" ref="AC267" si="177">SUM(AC253:AC266)</f>
        <v>0.11028602840136487</v>
      </c>
    </row>
    <row r="269" spans="3:29" s="85" customFormat="1" ht="14.4" customHeight="1" x14ac:dyDescent="0.3">
      <c r="C269" s="93" t="s">
        <v>378</v>
      </c>
      <c r="D269" s="31" t="s">
        <v>370</v>
      </c>
    </row>
    <row r="270" spans="3:29" s="85" customFormat="1" x14ac:dyDescent="0.3">
      <c r="C270" s="93"/>
      <c r="D270" s="85" t="str">
        <f>D253</f>
        <v>Top Pick</v>
      </c>
      <c r="E270" s="85" t="str">
        <f>E202</f>
        <v>tons/yr</v>
      </c>
      <c r="G270" s="11">
        <f t="shared" ref="G270:G284" si="178">SUM(I270:AC270)</f>
        <v>0.84273928170269774</v>
      </c>
      <c r="I270" s="38">
        <f>I202-I134</f>
        <v>1.2551682215720117E-2</v>
      </c>
      <c r="J270" s="38">
        <f t="shared" ref="J270:AC283" si="179">J202-J134</f>
        <v>7.9429885530151609E-2</v>
      </c>
      <c r="K270" s="38">
        <f t="shared" si="179"/>
        <v>0.12726937967919805</v>
      </c>
      <c r="L270" s="38">
        <f t="shared" si="179"/>
        <v>0.10124460099069271</v>
      </c>
      <c r="M270" s="38">
        <f t="shared" si="179"/>
        <v>7.5219349531049001E-2</v>
      </c>
      <c r="N270" s="38">
        <f t="shared" si="179"/>
        <v>4.9194899868595279E-2</v>
      </c>
      <c r="O270" s="38">
        <f t="shared" si="179"/>
        <v>2.3208834606393329E-2</v>
      </c>
      <c r="P270" s="38">
        <f t="shared" si="179"/>
        <v>2.6449124916272708E-2</v>
      </c>
      <c r="Q270" s="38">
        <f t="shared" si="179"/>
        <v>2.6527867823019899E-2</v>
      </c>
      <c r="R270" s="38">
        <f t="shared" si="179"/>
        <v>2.6606610729767069E-2</v>
      </c>
      <c r="S270" s="38">
        <f t="shared" si="179"/>
        <v>2.668561241933063E-2</v>
      </c>
      <c r="T270" s="38">
        <f t="shared" si="179"/>
        <v>2.6764085498488188E-2</v>
      </c>
      <c r="U270" s="38">
        <f t="shared" si="179"/>
        <v>2.6843038654891037E-2</v>
      </c>
      <c r="V270" s="38">
        <f t="shared" si="179"/>
        <v>2.6843038654891037E-2</v>
      </c>
      <c r="W270" s="38">
        <f t="shared" si="179"/>
        <v>2.6843038654891037E-2</v>
      </c>
      <c r="X270" s="38">
        <f t="shared" si="179"/>
        <v>2.6843038654891037E-2</v>
      </c>
      <c r="Y270" s="38">
        <f t="shared" si="179"/>
        <v>2.6843038654891037E-2</v>
      </c>
      <c r="Z270" s="38">
        <f t="shared" si="179"/>
        <v>2.6843038654891037E-2</v>
      </c>
      <c r="AA270" s="38">
        <f t="shared" si="179"/>
        <v>2.6843038654891037E-2</v>
      </c>
      <c r="AB270" s="38">
        <f t="shared" si="179"/>
        <v>2.6843038654891037E-2</v>
      </c>
      <c r="AC270" s="38">
        <f t="shared" si="179"/>
        <v>2.6843038654891037E-2</v>
      </c>
    </row>
    <row r="271" spans="3:29" s="85" customFormat="1" x14ac:dyDescent="0.3">
      <c r="C271" s="93"/>
      <c r="D271" s="85" t="str">
        <f t="shared" ref="D271:D284" si="180">D254</f>
        <v>RTGs, Hybrid</v>
      </c>
      <c r="E271" s="85" t="str">
        <f t="shared" ref="E271:E284" si="181">E203</f>
        <v>tons/yr</v>
      </c>
      <c r="G271" s="11">
        <f t="shared" si="178"/>
        <v>-9.2331522954576334E-2</v>
      </c>
      <c r="I271" s="38">
        <f t="shared" ref="I271:X271" si="182">I203-I135</f>
        <v>-7.8247053351335866E-4</v>
      </c>
      <c r="J271" s="38">
        <f t="shared" si="182"/>
        <v>-2.3474116005400758E-3</v>
      </c>
      <c r="K271" s="38">
        <f t="shared" si="182"/>
        <v>-4.6948232010801515E-3</v>
      </c>
      <c r="L271" s="38">
        <f t="shared" si="182"/>
        <v>-4.6948232010801515E-3</v>
      </c>
      <c r="M271" s="38">
        <f t="shared" si="182"/>
        <v>-4.6948232010801515E-3</v>
      </c>
      <c r="N271" s="38">
        <f t="shared" si="182"/>
        <v>-4.6948232010801515E-3</v>
      </c>
      <c r="O271" s="38">
        <f t="shared" si="182"/>
        <v>-4.6948232010801515E-3</v>
      </c>
      <c r="P271" s="38">
        <f t="shared" si="182"/>
        <v>-4.6948232010801515E-3</v>
      </c>
      <c r="Q271" s="38">
        <f t="shared" si="182"/>
        <v>-4.6948232010801515E-3</v>
      </c>
      <c r="R271" s="38">
        <f t="shared" si="182"/>
        <v>-4.6948232010801515E-3</v>
      </c>
      <c r="S271" s="38">
        <f t="shared" si="182"/>
        <v>-4.6948232010801515E-3</v>
      </c>
      <c r="T271" s="38">
        <f t="shared" si="182"/>
        <v>-4.6948232010801515E-3</v>
      </c>
      <c r="U271" s="38">
        <f t="shared" si="182"/>
        <v>-4.6948232010801515E-3</v>
      </c>
      <c r="V271" s="38">
        <f t="shared" si="182"/>
        <v>-4.6948232010801515E-3</v>
      </c>
      <c r="W271" s="38">
        <f t="shared" si="182"/>
        <v>-4.6948232010801515E-3</v>
      </c>
      <c r="X271" s="38">
        <f t="shared" si="182"/>
        <v>-4.6948232010801515E-3</v>
      </c>
      <c r="Y271" s="38">
        <f t="shared" si="179"/>
        <v>-4.6948232010801515E-3</v>
      </c>
      <c r="Z271" s="38">
        <f t="shared" si="179"/>
        <v>-4.6948232010801515E-3</v>
      </c>
      <c r="AA271" s="38">
        <f t="shared" si="179"/>
        <v>-4.6948232010801515E-3</v>
      </c>
      <c r="AB271" s="38">
        <f t="shared" si="179"/>
        <v>-4.6948232010801515E-3</v>
      </c>
      <c r="AC271" s="38">
        <f t="shared" si="179"/>
        <v>-4.6948232010801515E-3</v>
      </c>
    </row>
    <row r="272" spans="3:29" s="85" customFormat="1" x14ac:dyDescent="0.3">
      <c r="C272" s="93"/>
      <c r="D272" s="85" t="str">
        <f t="shared" si="180"/>
        <v>Forklift, 10000 lb, Diesel</v>
      </c>
      <c r="E272" s="85" t="str">
        <f t="shared" si="181"/>
        <v>tons/yr</v>
      </c>
      <c r="G272" s="11">
        <f t="shared" si="178"/>
        <v>4.4698063517094634E-2</v>
      </c>
      <c r="I272" s="38">
        <f t="shared" ref="I272" si="183">I204-I136</f>
        <v>2.2689372343702875E-4</v>
      </c>
      <c r="J272" s="38">
        <f t="shared" si="179"/>
        <v>1.361362340622172E-3</v>
      </c>
      <c r="K272" s="38">
        <f t="shared" si="179"/>
        <v>2.2689372343702866E-3</v>
      </c>
      <c r="L272" s="38">
        <f t="shared" si="179"/>
        <v>2.2689372343702866E-3</v>
      </c>
      <c r="M272" s="38">
        <f t="shared" si="179"/>
        <v>2.2689372343702866E-3</v>
      </c>
      <c r="N272" s="38">
        <f t="shared" si="179"/>
        <v>2.2689372343702866E-3</v>
      </c>
      <c r="O272" s="38">
        <f t="shared" si="179"/>
        <v>2.2689372343702866E-3</v>
      </c>
      <c r="P272" s="38">
        <f t="shared" si="179"/>
        <v>2.2689372343702866E-3</v>
      </c>
      <c r="Q272" s="38">
        <f t="shared" si="179"/>
        <v>2.2689372343702866E-3</v>
      </c>
      <c r="R272" s="38">
        <f t="shared" si="179"/>
        <v>2.2689372343702866E-3</v>
      </c>
      <c r="S272" s="38">
        <f t="shared" si="179"/>
        <v>2.2689372343702866E-3</v>
      </c>
      <c r="T272" s="38">
        <f t="shared" si="179"/>
        <v>2.2689372343702866E-3</v>
      </c>
      <c r="U272" s="38">
        <f t="shared" si="179"/>
        <v>2.2689372343702866E-3</v>
      </c>
      <c r="V272" s="38">
        <f t="shared" si="179"/>
        <v>2.2689372343702866E-3</v>
      </c>
      <c r="W272" s="38">
        <f t="shared" si="179"/>
        <v>2.2689372343702866E-3</v>
      </c>
      <c r="X272" s="38">
        <f t="shared" si="179"/>
        <v>2.2689372343702866E-3</v>
      </c>
      <c r="Y272" s="38">
        <f t="shared" si="179"/>
        <v>2.2689372343702866E-3</v>
      </c>
      <c r="Z272" s="38">
        <f t="shared" si="179"/>
        <v>2.2689372343702866E-3</v>
      </c>
      <c r="AA272" s="38">
        <f t="shared" si="179"/>
        <v>2.2689372343702866E-3</v>
      </c>
      <c r="AB272" s="38">
        <f t="shared" si="179"/>
        <v>2.2689372343702866E-3</v>
      </c>
      <c r="AC272" s="38">
        <f t="shared" si="179"/>
        <v>2.2689372343702866E-3</v>
      </c>
    </row>
    <row r="273" spans="3:29" s="85" customFormat="1" x14ac:dyDescent="0.3">
      <c r="C273" s="93"/>
      <c r="D273" s="85" t="str">
        <f t="shared" si="180"/>
        <v>Forklift, 10000 lb, electric</v>
      </c>
      <c r="E273" s="85" t="str">
        <f t="shared" si="181"/>
        <v>tons/yr</v>
      </c>
      <c r="G273" s="11">
        <f t="shared" si="178"/>
        <v>-0.50864874666666648</v>
      </c>
      <c r="I273" s="38">
        <f t="shared" ref="I273" si="184">I205-I137</f>
        <v>-2.5819733333333332E-3</v>
      </c>
      <c r="J273" s="38">
        <f t="shared" si="179"/>
        <v>-1.5491839999999998E-2</v>
      </c>
      <c r="K273" s="38">
        <f t="shared" si="179"/>
        <v>-2.5819733333333327E-2</v>
      </c>
      <c r="L273" s="38">
        <f t="shared" si="179"/>
        <v>-2.5819733333333327E-2</v>
      </c>
      <c r="M273" s="38">
        <f t="shared" si="179"/>
        <v>-2.5819733333333327E-2</v>
      </c>
      <c r="N273" s="38">
        <f t="shared" si="179"/>
        <v>-2.5819733333333327E-2</v>
      </c>
      <c r="O273" s="38">
        <f t="shared" si="179"/>
        <v>-2.5819733333333327E-2</v>
      </c>
      <c r="P273" s="38">
        <f t="shared" si="179"/>
        <v>-2.5819733333333327E-2</v>
      </c>
      <c r="Q273" s="38">
        <f t="shared" si="179"/>
        <v>-2.5819733333333327E-2</v>
      </c>
      <c r="R273" s="38">
        <f t="shared" si="179"/>
        <v>-2.5819733333333327E-2</v>
      </c>
      <c r="S273" s="38">
        <f t="shared" si="179"/>
        <v>-2.5819733333333327E-2</v>
      </c>
      <c r="T273" s="38">
        <f t="shared" si="179"/>
        <v>-2.5819733333333327E-2</v>
      </c>
      <c r="U273" s="38">
        <f t="shared" si="179"/>
        <v>-2.5819733333333327E-2</v>
      </c>
      <c r="V273" s="38">
        <f t="shared" si="179"/>
        <v>-2.5819733333333327E-2</v>
      </c>
      <c r="W273" s="38">
        <f t="shared" si="179"/>
        <v>-2.5819733333333327E-2</v>
      </c>
      <c r="X273" s="38">
        <f t="shared" si="179"/>
        <v>-2.5819733333333327E-2</v>
      </c>
      <c r="Y273" s="38">
        <f t="shared" si="179"/>
        <v>-2.5819733333333327E-2</v>
      </c>
      <c r="Z273" s="38">
        <f t="shared" si="179"/>
        <v>-2.5819733333333327E-2</v>
      </c>
      <c r="AA273" s="38">
        <f t="shared" si="179"/>
        <v>-2.5819733333333327E-2</v>
      </c>
      <c r="AB273" s="38">
        <f t="shared" si="179"/>
        <v>-2.5819733333333327E-2</v>
      </c>
      <c r="AC273" s="38">
        <f t="shared" si="179"/>
        <v>-2.5819733333333327E-2</v>
      </c>
    </row>
    <row r="274" spans="3:29" s="85" customFormat="1" x14ac:dyDescent="0.3">
      <c r="C274" s="93"/>
      <c r="D274" s="85" t="str">
        <f t="shared" si="180"/>
        <v>Forklift, 18000 lb, Diesel</v>
      </c>
      <c r="E274" s="85" t="str">
        <f t="shared" si="181"/>
        <v>tons/yr</v>
      </c>
      <c r="G274" s="11">
        <f t="shared" si="178"/>
        <v>7.3740460117034307E-2</v>
      </c>
      <c r="I274" s="38">
        <f t="shared" ref="I274" si="185">I206-I138</f>
        <v>0</v>
      </c>
      <c r="J274" s="38">
        <f t="shared" si="179"/>
        <v>1.8907810286419051E-3</v>
      </c>
      <c r="K274" s="38">
        <f t="shared" si="179"/>
        <v>3.7815620572838101E-3</v>
      </c>
      <c r="L274" s="38">
        <f t="shared" si="179"/>
        <v>3.7815620572838101E-3</v>
      </c>
      <c r="M274" s="38">
        <f t="shared" si="179"/>
        <v>3.7815620572838101E-3</v>
      </c>
      <c r="N274" s="38">
        <f t="shared" si="179"/>
        <v>3.7815620572838101E-3</v>
      </c>
      <c r="O274" s="38">
        <f t="shared" si="179"/>
        <v>3.7815620572838101E-3</v>
      </c>
      <c r="P274" s="38">
        <f t="shared" si="179"/>
        <v>3.7815620572838101E-3</v>
      </c>
      <c r="Q274" s="38">
        <f t="shared" si="179"/>
        <v>3.7815620572838101E-3</v>
      </c>
      <c r="R274" s="38">
        <f t="shared" si="179"/>
        <v>3.7815620572838101E-3</v>
      </c>
      <c r="S274" s="38">
        <f t="shared" si="179"/>
        <v>3.7815620572838101E-3</v>
      </c>
      <c r="T274" s="38">
        <f t="shared" si="179"/>
        <v>3.7815620572838101E-3</v>
      </c>
      <c r="U274" s="38">
        <f t="shared" si="179"/>
        <v>3.7815620572838101E-3</v>
      </c>
      <c r="V274" s="38">
        <f t="shared" si="179"/>
        <v>3.7815620572838101E-3</v>
      </c>
      <c r="W274" s="38">
        <f t="shared" si="179"/>
        <v>3.7815620572838101E-3</v>
      </c>
      <c r="X274" s="38">
        <f t="shared" si="179"/>
        <v>3.7815620572838101E-3</v>
      </c>
      <c r="Y274" s="38">
        <f t="shared" si="179"/>
        <v>3.7815620572838101E-3</v>
      </c>
      <c r="Z274" s="38">
        <f t="shared" si="179"/>
        <v>3.7815620572838101E-3</v>
      </c>
      <c r="AA274" s="38">
        <f t="shared" si="179"/>
        <v>3.7815620572838101E-3</v>
      </c>
      <c r="AB274" s="38">
        <f t="shared" si="179"/>
        <v>3.7815620572838101E-3</v>
      </c>
      <c r="AC274" s="38">
        <f t="shared" si="179"/>
        <v>3.7815620572838101E-3</v>
      </c>
    </row>
    <row r="275" spans="3:29" s="85" customFormat="1" x14ac:dyDescent="0.3">
      <c r="C275" s="93"/>
      <c r="D275" s="85" t="str">
        <f t="shared" si="180"/>
        <v>Forklift, 18000 lb, electric</v>
      </c>
      <c r="E275" s="85" t="str">
        <f t="shared" si="181"/>
        <v>tons/yr</v>
      </c>
      <c r="G275" s="11">
        <f t="shared" si="178"/>
        <v>-0.57541120000000023</v>
      </c>
      <c r="I275" s="38">
        <f t="shared" ref="I275" si="186">I207-I139</f>
        <v>0</v>
      </c>
      <c r="J275" s="38">
        <f t="shared" si="179"/>
        <v>-1.4754133333333337E-2</v>
      </c>
      <c r="K275" s="38">
        <f t="shared" si="179"/>
        <v>-2.9508266666666675E-2</v>
      </c>
      <c r="L275" s="38">
        <f t="shared" si="179"/>
        <v>-2.9508266666666675E-2</v>
      </c>
      <c r="M275" s="38">
        <f t="shared" si="179"/>
        <v>-2.9508266666666675E-2</v>
      </c>
      <c r="N275" s="38">
        <f t="shared" si="179"/>
        <v>-2.9508266666666675E-2</v>
      </c>
      <c r="O275" s="38">
        <f t="shared" si="179"/>
        <v>-2.9508266666666675E-2</v>
      </c>
      <c r="P275" s="38">
        <f t="shared" si="179"/>
        <v>-2.9508266666666675E-2</v>
      </c>
      <c r="Q275" s="38">
        <f t="shared" si="179"/>
        <v>-2.9508266666666675E-2</v>
      </c>
      <c r="R275" s="38">
        <f t="shared" si="179"/>
        <v>-2.9508266666666675E-2</v>
      </c>
      <c r="S275" s="38">
        <f t="shared" si="179"/>
        <v>-2.9508266666666675E-2</v>
      </c>
      <c r="T275" s="38">
        <f t="shared" si="179"/>
        <v>-2.9508266666666675E-2</v>
      </c>
      <c r="U275" s="38">
        <f t="shared" si="179"/>
        <v>-2.9508266666666675E-2</v>
      </c>
      <c r="V275" s="38">
        <f t="shared" si="179"/>
        <v>-2.9508266666666675E-2</v>
      </c>
      <c r="W275" s="38">
        <f t="shared" si="179"/>
        <v>-2.9508266666666675E-2</v>
      </c>
      <c r="X275" s="38">
        <f t="shared" si="179"/>
        <v>-2.9508266666666675E-2</v>
      </c>
      <c r="Y275" s="38">
        <f t="shared" si="179"/>
        <v>-2.9508266666666675E-2</v>
      </c>
      <c r="Z275" s="38">
        <f t="shared" si="179"/>
        <v>-2.9508266666666675E-2</v>
      </c>
      <c r="AA275" s="38">
        <f t="shared" si="179"/>
        <v>-2.9508266666666675E-2</v>
      </c>
      <c r="AB275" s="38">
        <f t="shared" si="179"/>
        <v>-2.9508266666666675E-2</v>
      </c>
      <c r="AC275" s="38">
        <f t="shared" si="179"/>
        <v>-2.9508266666666675E-2</v>
      </c>
    </row>
    <row r="276" spans="3:29" s="85" customFormat="1" x14ac:dyDescent="0.3">
      <c r="C276" s="93"/>
      <c r="D276" s="85" t="str">
        <f t="shared" si="180"/>
        <v>Forklift, 36000 lb, diesel</v>
      </c>
      <c r="E276" s="85" t="str">
        <f t="shared" si="181"/>
        <v>tons/yr</v>
      </c>
      <c r="G276" s="11">
        <f t="shared" si="178"/>
        <v>8.6337611482236329E-2</v>
      </c>
      <c r="I276" s="38">
        <f t="shared" ref="I276" si="187">I208-I140</f>
        <v>4.3826198721947426E-4</v>
      </c>
      <c r="J276" s="38">
        <f t="shared" si="179"/>
        <v>2.6295719233168429E-3</v>
      </c>
      <c r="K276" s="38">
        <f t="shared" si="179"/>
        <v>4.3826198721947382E-3</v>
      </c>
      <c r="L276" s="38">
        <f t="shared" si="179"/>
        <v>4.3826198721947382E-3</v>
      </c>
      <c r="M276" s="38">
        <f t="shared" si="179"/>
        <v>4.3826198721947382E-3</v>
      </c>
      <c r="N276" s="38">
        <f t="shared" si="179"/>
        <v>4.3826198721947382E-3</v>
      </c>
      <c r="O276" s="38">
        <f t="shared" si="179"/>
        <v>4.3826198721947382E-3</v>
      </c>
      <c r="P276" s="38">
        <f t="shared" si="179"/>
        <v>4.3826198721947382E-3</v>
      </c>
      <c r="Q276" s="38">
        <f t="shared" si="179"/>
        <v>4.3826198721947382E-3</v>
      </c>
      <c r="R276" s="38">
        <f t="shared" si="179"/>
        <v>4.3826198721947382E-3</v>
      </c>
      <c r="S276" s="38">
        <f t="shared" si="179"/>
        <v>4.3826198721947382E-3</v>
      </c>
      <c r="T276" s="38">
        <f t="shared" si="179"/>
        <v>4.3826198721947382E-3</v>
      </c>
      <c r="U276" s="38">
        <f t="shared" si="179"/>
        <v>4.3826198721947382E-3</v>
      </c>
      <c r="V276" s="38">
        <f t="shared" si="179"/>
        <v>4.3826198721947382E-3</v>
      </c>
      <c r="W276" s="38">
        <f t="shared" si="179"/>
        <v>4.3826198721947382E-3</v>
      </c>
      <c r="X276" s="38">
        <f t="shared" si="179"/>
        <v>4.3826198721947382E-3</v>
      </c>
      <c r="Y276" s="38">
        <f t="shared" si="179"/>
        <v>4.3826198721947382E-3</v>
      </c>
      <c r="Z276" s="38">
        <f t="shared" si="179"/>
        <v>4.3826198721947382E-3</v>
      </c>
      <c r="AA276" s="38">
        <f t="shared" si="179"/>
        <v>4.3826198721947382E-3</v>
      </c>
      <c r="AB276" s="38">
        <f t="shared" si="179"/>
        <v>4.3826198721947382E-3</v>
      </c>
      <c r="AC276" s="38">
        <f t="shared" si="179"/>
        <v>4.3826198721947382E-3</v>
      </c>
    </row>
    <row r="277" spans="3:29" s="85" customFormat="1" x14ac:dyDescent="0.3">
      <c r="C277" s="93"/>
      <c r="D277" s="85" t="str">
        <f t="shared" si="180"/>
        <v>Forklift, 36000 lb, electric</v>
      </c>
      <c r="E277" s="85" t="str">
        <f t="shared" si="181"/>
        <v>tons/yr</v>
      </c>
      <c r="G277" s="11">
        <f t="shared" si="178"/>
        <v>-0.72664106666666661</v>
      </c>
      <c r="I277" s="38">
        <f t="shared" ref="I277" si="188">I209-I141</f>
        <v>-3.6885333333333339E-3</v>
      </c>
      <c r="J277" s="38">
        <f t="shared" si="179"/>
        <v>-2.21312E-2</v>
      </c>
      <c r="K277" s="38">
        <f t="shared" si="179"/>
        <v>-3.6885333333333332E-2</v>
      </c>
      <c r="L277" s="38">
        <f t="shared" si="179"/>
        <v>-3.6885333333333332E-2</v>
      </c>
      <c r="M277" s="38">
        <f t="shared" si="179"/>
        <v>-3.6885333333333332E-2</v>
      </c>
      <c r="N277" s="38">
        <f t="shared" si="179"/>
        <v>-3.6885333333333332E-2</v>
      </c>
      <c r="O277" s="38">
        <f t="shared" si="179"/>
        <v>-3.6885333333333332E-2</v>
      </c>
      <c r="P277" s="38">
        <f t="shared" si="179"/>
        <v>-3.6885333333333332E-2</v>
      </c>
      <c r="Q277" s="38">
        <f t="shared" si="179"/>
        <v>-3.6885333333333332E-2</v>
      </c>
      <c r="R277" s="38">
        <f t="shared" si="179"/>
        <v>-3.6885333333333332E-2</v>
      </c>
      <c r="S277" s="38">
        <f t="shared" si="179"/>
        <v>-3.6885333333333332E-2</v>
      </c>
      <c r="T277" s="38">
        <f t="shared" si="179"/>
        <v>-3.6885333333333332E-2</v>
      </c>
      <c r="U277" s="38">
        <f t="shared" si="179"/>
        <v>-3.6885333333333332E-2</v>
      </c>
      <c r="V277" s="38">
        <f t="shared" si="179"/>
        <v>-3.6885333333333332E-2</v>
      </c>
      <c r="W277" s="38">
        <f t="shared" si="179"/>
        <v>-3.6885333333333332E-2</v>
      </c>
      <c r="X277" s="38">
        <f t="shared" si="179"/>
        <v>-3.6885333333333332E-2</v>
      </c>
      <c r="Y277" s="38">
        <f t="shared" si="179"/>
        <v>-3.6885333333333332E-2</v>
      </c>
      <c r="Z277" s="38">
        <f t="shared" si="179"/>
        <v>-3.6885333333333332E-2</v>
      </c>
      <c r="AA277" s="38">
        <f t="shared" si="179"/>
        <v>-3.6885333333333332E-2</v>
      </c>
      <c r="AB277" s="38">
        <f t="shared" si="179"/>
        <v>-3.6885333333333332E-2</v>
      </c>
      <c r="AC277" s="38">
        <f t="shared" si="179"/>
        <v>-3.6885333333333332E-2</v>
      </c>
    </row>
    <row r="278" spans="3:29" s="85" customFormat="1" x14ac:dyDescent="0.3">
      <c r="C278" s="93"/>
      <c r="D278" s="85" t="str">
        <f t="shared" si="180"/>
        <v>Yard Tractor, Diesel</v>
      </c>
      <c r="E278" s="85" t="str">
        <f t="shared" si="181"/>
        <v>tons/yr</v>
      </c>
      <c r="G278" s="11">
        <f t="shared" si="178"/>
        <v>0.11929858066936974</v>
      </c>
      <c r="I278" s="38">
        <f t="shared" ref="I278" si="189">I210-I142</f>
        <v>6.0557655162116631E-4</v>
      </c>
      <c r="J278" s="38">
        <f t="shared" si="179"/>
        <v>3.6334593097269979E-3</v>
      </c>
      <c r="K278" s="38">
        <f t="shared" si="179"/>
        <v>6.0557655162116631E-3</v>
      </c>
      <c r="L278" s="38">
        <f t="shared" si="179"/>
        <v>6.0557655162116631E-3</v>
      </c>
      <c r="M278" s="38">
        <f t="shared" si="179"/>
        <v>6.0557655162116631E-3</v>
      </c>
      <c r="N278" s="38">
        <f t="shared" si="179"/>
        <v>6.0557655162116631E-3</v>
      </c>
      <c r="O278" s="38">
        <f t="shared" si="179"/>
        <v>6.0557655162116631E-3</v>
      </c>
      <c r="P278" s="38">
        <f t="shared" si="179"/>
        <v>6.0557655162116631E-3</v>
      </c>
      <c r="Q278" s="38">
        <f t="shared" si="179"/>
        <v>6.0557655162116631E-3</v>
      </c>
      <c r="R278" s="38">
        <f t="shared" si="179"/>
        <v>6.0557655162116631E-3</v>
      </c>
      <c r="S278" s="38">
        <f t="shared" si="179"/>
        <v>6.0557655162116631E-3</v>
      </c>
      <c r="T278" s="38">
        <f t="shared" si="179"/>
        <v>6.0557655162116631E-3</v>
      </c>
      <c r="U278" s="38">
        <f t="shared" si="179"/>
        <v>6.0557655162116631E-3</v>
      </c>
      <c r="V278" s="38">
        <f t="shared" si="179"/>
        <v>6.0557655162116631E-3</v>
      </c>
      <c r="W278" s="38">
        <f t="shared" si="179"/>
        <v>6.0557655162116631E-3</v>
      </c>
      <c r="X278" s="38">
        <f t="shared" si="179"/>
        <v>6.0557655162116631E-3</v>
      </c>
      <c r="Y278" s="38">
        <f t="shared" si="179"/>
        <v>6.0557655162116631E-3</v>
      </c>
      <c r="Z278" s="38">
        <f t="shared" si="179"/>
        <v>6.0557655162116631E-3</v>
      </c>
      <c r="AA278" s="38">
        <f t="shared" si="179"/>
        <v>6.0557655162116631E-3</v>
      </c>
      <c r="AB278" s="38">
        <f t="shared" si="179"/>
        <v>6.0557655162116631E-3</v>
      </c>
      <c r="AC278" s="38">
        <f t="shared" si="179"/>
        <v>6.0557655162116631E-3</v>
      </c>
    </row>
    <row r="279" spans="3:29" s="85" customFormat="1" x14ac:dyDescent="0.3">
      <c r="C279" s="93"/>
      <c r="D279" s="85" t="str">
        <f t="shared" si="180"/>
        <v>Yard Tractor, electric</v>
      </c>
      <c r="E279" s="85" t="str">
        <f t="shared" si="181"/>
        <v>tons/yr</v>
      </c>
      <c r="G279" s="11">
        <f t="shared" si="178"/>
        <v>-0.75228722196078424</v>
      </c>
      <c r="I279" s="38">
        <f t="shared" ref="I279" si="190">I211-I143</f>
        <v>-3.8187168627450978E-3</v>
      </c>
      <c r="J279" s="38">
        <f t="shared" si="179"/>
        <v>-2.2912301176470588E-2</v>
      </c>
      <c r="K279" s="38">
        <f t="shared" si="179"/>
        <v>-3.8187168627450981E-2</v>
      </c>
      <c r="L279" s="38">
        <f t="shared" si="179"/>
        <v>-3.8187168627450981E-2</v>
      </c>
      <c r="M279" s="38">
        <f t="shared" si="179"/>
        <v>-3.8187168627450981E-2</v>
      </c>
      <c r="N279" s="38">
        <f t="shared" si="179"/>
        <v>-3.8187168627450981E-2</v>
      </c>
      <c r="O279" s="38">
        <f t="shared" si="179"/>
        <v>-3.8187168627450981E-2</v>
      </c>
      <c r="P279" s="38">
        <f t="shared" si="179"/>
        <v>-3.8187168627450981E-2</v>
      </c>
      <c r="Q279" s="38">
        <f t="shared" si="179"/>
        <v>-3.8187168627450981E-2</v>
      </c>
      <c r="R279" s="38">
        <f t="shared" si="179"/>
        <v>-3.8187168627450981E-2</v>
      </c>
      <c r="S279" s="38">
        <f t="shared" si="179"/>
        <v>-3.8187168627450981E-2</v>
      </c>
      <c r="T279" s="38">
        <f t="shared" si="179"/>
        <v>-3.8187168627450981E-2</v>
      </c>
      <c r="U279" s="38">
        <f t="shared" si="179"/>
        <v>-3.8187168627450981E-2</v>
      </c>
      <c r="V279" s="38">
        <f t="shared" si="179"/>
        <v>-3.8187168627450981E-2</v>
      </c>
      <c r="W279" s="38">
        <f t="shared" si="179"/>
        <v>-3.8187168627450981E-2</v>
      </c>
      <c r="X279" s="38">
        <f t="shared" si="179"/>
        <v>-3.8187168627450981E-2</v>
      </c>
      <c r="Y279" s="38">
        <f t="shared" si="179"/>
        <v>-3.8187168627450981E-2</v>
      </c>
      <c r="Z279" s="38">
        <f t="shared" si="179"/>
        <v>-3.8187168627450981E-2</v>
      </c>
      <c r="AA279" s="38">
        <f t="shared" si="179"/>
        <v>-3.8187168627450981E-2</v>
      </c>
      <c r="AB279" s="38">
        <f t="shared" si="179"/>
        <v>-3.8187168627450981E-2</v>
      </c>
      <c r="AC279" s="38">
        <f t="shared" si="179"/>
        <v>-3.8187168627450981E-2</v>
      </c>
    </row>
    <row r="280" spans="3:29" s="85" customFormat="1" x14ac:dyDescent="0.3">
      <c r="C280" s="93"/>
      <c r="D280" s="85" t="str">
        <f t="shared" si="180"/>
        <v>Reefer Power Packs, 30 plugs, dual engine, Tier 3, 400 HP CAT</v>
      </c>
      <c r="E280" s="85" t="str">
        <f t="shared" si="181"/>
        <v>tons/yr</v>
      </c>
      <c r="G280" s="11">
        <f t="shared" si="178"/>
        <v>1.6650614937902457E-3</v>
      </c>
      <c r="I280" s="38">
        <f t="shared" ref="I280" si="191">I212-I144</f>
        <v>0</v>
      </c>
      <c r="J280" s="38">
        <f t="shared" si="179"/>
        <v>0</v>
      </c>
      <c r="K280" s="38">
        <f t="shared" si="179"/>
        <v>8.7634815462644494E-5</v>
      </c>
      <c r="L280" s="38">
        <f t="shared" si="179"/>
        <v>8.7634815462644494E-5</v>
      </c>
      <c r="M280" s="38">
        <f t="shared" si="179"/>
        <v>8.7634815462644494E-5</v>
      </c>
      <c r="N280" s="38">
        <f t="shared" si="179"/>
        <v>8.7634815462644494E-5</v>
      </c>
      <c r="O280" s="38">
        <f t="shared" si="179"/>
        <v>8.7634815462644494E-5</v>
      </c>
      <c r="P280" s="38">
        <f t="shared" si="179"/>
        <v>8.7634815462644494E-5</v>
      </c>
      <c r="Q280" s="38">
        <f t="shared" si="179"/>
        <v>8.7634815462644494E-5</v>
      </c>
      <c r="R280" s="38">
        <f t="shared" si="179"/>
        <v>8.7634815462644494E-5</v>
      </c>
      <c r="S280" s="38">
        <f t="shared" si="179"/>
        <v>8.7634815462644494E-5</v>
      </c>
      <c r="T280" s="38">
        <f t="shared" si="179"/>
        <v>8.7634815462644494E-5</v>
      </c>
      <c r="U280" s="38">
        <f t="shared" si="179"/>
        <v>8.7634815462644494E-5</v>
      </c>
      <c r="V280" s="38">
        <f t="shared" si="179"/>
        <v>8.7634815462644494E-5</v>
      </c>
      <c r="W280" s="38">
        <f t="shared" si="179"/>
        <v>8.7634815462644494E-5</v>
      </c>
      <c r="X280" s="38">
        <f t="shared" si="179"/>
        <v>8.7634815462644494E-5</v>
      </c>
      <c r="Y280" s="38">
        <f t="shared" si="179"/>
        <v>8.7634815462644494E-5</v>
      </c>
      <c r="Z280" s="38">
        <f t="shared" si="179"/>
        <v>8.7634815462644494E-5</v>
      </c>
      <c r="AA280" s="38">
        <f t="shared" si="179"/>
        <v>8.7634815462644494E-5</v>
      </c>
      <c r="AB280" s="38">
        <f t="shared" si="179"/>
        <v>8.7634815462644494E-5</v>
      </c>
      <c r="AC280" s="38">
        <f t="shared" si="179"/>
        <v>8.7634815462644494E-5</v>
      </c>
    </row>
    <row r="281" spans="3:29" s="85" customFormat="1" x14ac:dyDescent="0.3">
      <c r="C281" s="93"/>
      <c r="D281" s="85" t="str">
        <f t="shared" si="180"/>
        <v>Reefer Power Packs, 30 plugs, single engine, Tier 3 400 HP CAT</v>
      </c>
      <c r="E281" s="85" t="str">
        <f t="shared" si="181"/>
        <v>tons/yr</v>
      </c>
      <c r="G281" s="11">
        <f t="shared" si="178"/>
        <v>1.4340242530250919E-3</v>
      </c>
      <c r="I281" s="38">
        <f t="shared" ref="I281" si="192">I213-I145</f>
        <v>0</v>
      </c>
      <c r="J281" s="38">
        <f t="shared" si="179"/>
        <v>7.170121265125458E-5</v>
      </c>
      <c r="K281" s="38">
        <f t="shared" si="179"/>
        <v>7.170121265125458E-5</v>
      </c>
      <c r="L281" s="38">
        <f t="shared" si="179"/>
        <v>7.170121265125458E-5</v>
      </c>
      <c r="M281" s="38">
        <f t="shared" si="179"/>
        <v>7.170121265125458E-5</v>
      </c>
      <c r="N281" s="38">
        <f t="shared" si="179"/>
        <v>7.170121265125458E-5</v>
      </c>
      <c r="O281" s="38">
        <f t="shared" si="179"/>
        <v>7.170121265125458E-5</v>
      </c>
      <c r="P281" s="38">
        <f t="shared" si="179"/>
        <v>7.170121265125458E-5</v>
      </c>
      <c r="Q281" s="38">
        <f t="shared" si="179"/>
        <v>7.170121265125458E-5</v>
      </c>
      <c r="R281" s="38">
        <f t="shared" si="179"/>
        <v>7.170121265125458E-5</v>
      </c>
      <c r="S281" s="38">
        <f t="shared" si="179"/>
        <v>7.170121265125458E-5</v>
      </c>
      <c r="T281" s="38">
        <f t="shared" si="179"/>
        <v>7.170121265125458E-5</v>
      </c>
      <c r="U281" s="38">
        <f t="shared" si="179"/>
        <v>7.170121265125458E-5</v>
      </c>
      <c r="V281" s="38">
        <f t="shared" si="179"/>
        <v>7.170121265125458E-5</v>
      </c>
      <c r="W281" s="38">
        <f t="shared" si="179"/>
        <v>7.170121265125458E-5</v>
      </c>
      <c r="X281" s="38">
        <f t="shared" si="179"/>
        <v>7.170121265125458E-5</v>
      </c>
      <c r="Y281" s="38">
        <f t="shared" si="179"/>
        <v>7.170121265125458E-5</v>
      </c>
      <c r="Z281" s="38">
        <f t="shared" si="179"/>
        <v>7.170121265125458E-5</v>
      </c>
      <c r="AA281" s="38">
        <f t="shared" si="179"/>
        <v>7.170121265125458E-5</v>
      </c>
      <c r="AB281" s="38">
        <f t="shared" si="179"/>
        <v>7.170121265125458E-5</v>
      </c>
      <c r="AC281" s="38">
        <f t="shared" si="179"/>
        <v>7.170121265125458E-5</v>
      </c>
    </row>
    <row r="282" spans="3:29" s="85" customFormat="1" x14ac:dyDescent="0.3">
      <c r="C282" s="93"/>
      <c r="D282" s="85" t="str">
        <f t="shared" si="180"/>
        <v>Nose Mount genset 1 plug, single engine, Tier 3, 32-34HP, Kubota / Carrier or Yanmar</v>
      </c>
      <c r="E282" s="85" t="str">
        <f t="shared" si="181"/>
        <v>tons/yr</v>
      </c>
      <c r="G282" s="11">
        <f t="shared" si="178"/>
        <v>1.6266640766624197E-2</v>
      </c>
      <c r="I282" s="38">
        <f t="shared" ref="I282" si="193">I214-I146</f>
        <v>4.7378565339682125E-4</v>
      </c>
      <c r="J282" s="38">
        <f t="shared" si="179"/>
        <v>7.8964275566136878E-4</v>
      </c>
      <c r="K282" s="38">
        <f t="shared" si="179"/>
        <v>7.8964275566136878E-4</v>
      </c>
      <c r="L282" s="38">
        <f t="shared" si="179"/>
        <v>7.8964275566136878E-4</v>
      </c>
      <c r="M282" s="38">
        <f t="shared" si="179"/>
        <v>7.8964275566136878E-4</v>
      </c>
      <c r="N282" s="38">
        <f t="shared" si="179"/>
        <v>7.8964275566136878E-4</v>
      </c>
      <c r="O282" s="38">
        <f t="shared" si="179"/>
        <v>7.8964275566136878E-4</v>
      </c>
      <c r="P282" s="38">
        <f t="shared" si="179"/>
        <v>7.8964275566136878E-4</v>
      </c>
      <c r="Q282" s="38">
        <f t="shared" si="179"/>
        <v>7.8964275566136878E-4</v>
      </c>
      <c r="R282" s="38">
        <f t="shared" si="179"/>
        <v>7.8964275566136878E-4</v>
      </c>
      <c r="S282" s="38">
        <f t="shared" si="179"/>
        <v>7.8964275566136878E-4</v>
      </c>
      <c r="T282" s="38">
        <f t="shared" si="179"/>
        <v>7.8964275566136878E-4</v>
      </c>
      <c r="U282" s="38">
        <f t="shared" si="179"/>
        <v>7.8964275566136878E-4</v>
      </c>
      <c r="V282" s="38">
        <f t="shared" si="179"/>
        <v>7.8964275566136878E-4</v>
      </c>
      <c r="W282" s="38">
        <f t="shared" si="179"/>
        <v>7.8964275566136878E-4</v>
      </c>
      <c r="X282" s="38">
        <f t="shared" si="179"/>
        <v>7.8964275566136878E-4</v>
      </c>
      <c r="Y282" s="38">
        <f t="shared" si="179"/>
        <v>7.8964275566136878E-4</v>
      </c>
      <c r="Z282" s="38">
        <f t="shared" si="179"/>
        <v>7.8964275566136878E-4</v>
      </c>
      <c r="AA282" s="38">
        <f t="shared" si="179"/>
        <v>7.8964275566136878E-4</v>
      </c>
      <c r="AB282" s="38">
        <f t="shared" si="179"/>
        <v>7.8964275566136878E-4</v>
      </c>
      <c r="AC282" s="38">
        <f t="shared" si="179"/>
        <v>7.8964275566136878E-4</v>
      </c>
    </row>
    <row r="283" spans="3:29" s="85" customFormat="1" x14ac:dyDescent="0.3">
      <c r="C283" s="93"/>
      <c r="D283" s="85" t="str">
        <f t="shared" si="180"/>
        <v>Reefer, electric</v>
      </c>
      <c r="E283" s="85" t="str">
        <f t="shared" si="181"/>
        <v>tons/yr</v>
      </c>
      <c r="G283" s="11">
        <f t="shared" si="178"/>
        <v>-7.0657821717999987</v>
      </c>
      <c r="I283" s="38">
        <f t="shared" ref="I283" si="194">I215-I147</f>
        <v>-0.13125291960000002</v>
      </c>
      <c r="J283" s="38">
        <f t="shared" si="179"/>
        <v>-0.28438132580000003</v>
      </c>
      <c r="K283" s="38">
        <f t="shared" si="179"/>
        <v>-0.35000778560000001</v>
      </c>
      <c r="L283" s="38">
        <f t="shared" si="179"/>
        <v>-0.35000778560000001</v>
      </c>
      <c r="M283" s="38">
        <f t="shared" si="179"/>
        <v>-0.35000778560000001</v>
      </c>
      <c r="N283" s="38">
        <f t="shared" si="179"/>
        <v>-0.35000778560000001</v>
      </c>
      <c r="O283" s="38">
        <f t="shared" si="179"/>
        <v>-0.35000778560000001</v>
      </c>
      <c r="P283" s="38">
        <f t="shared" si="179"/>
        <v>-0.35000778560000001</v>
      </c>
      <c r="Q283" s="38">
        <f t="shared" si="179"/>
        <v>-0.35000778560000001</v>
      </c>
      <c r="R283" s="38">
        <f t="shared" si="179"/>
        <v>-0.35000778560000001</v>
      </c>
      <c r="S283" s="38">
        <f t="shared" si="179"/>
        <v>-0.35000778560000001</v>
      </c>
      <c r="T283" s="38">
        <f t="shared" ref="T283:AC283" si="195">T215-T147</f>
        <v>-0.35000778560000001</v>
      </c>
      <c r="U283" s="38">
        <f t="shared" si="195"/>
        <v>-0.35000778560000001</v>
      </c>
      <c r="V283" s="38">
        <f t="shared" si="195"/>
        <v>-0.35000778560000001</v>
      </c>
      <c r="W283" s="38">
        <f t="shared" si="195"/>
        <v>-0.35000778560000001</v>
      </c>
      <c r="X283" s="38">
        <f t="shared" si="195"/>
        <v>-0.35000778560000001</v>
      </c>
      <c r="Y283" s="38">
        <f t="shared" si="195"/>
        <v>-0.35000778560000001</v>
      </c>
      <c r="Z283" s="38">
        <f t="shared" si="195"/>
        <v>-0.35000778560000001</v>
      </c>
      <c r="AA283" s="38">
        <f t="shared" si="195"/>
        <v>-0.35000778560000001</v>
      </c>
      <c r="AB283" s="38">
        <f t="shared" si="195"/>
        <v>-0.35000778560000001</v>
      </c>
      <c r="AC283" s="38">
        <f t="shared" si="195"/>
        <v>-0.35000778560000001</v>
      </c>
    </row>
    <row r="284" spans="3:29" s="85" customFormat="1" x14ac:dyDescent="0.3">
      <c r="C284" s="93"/>
      <c r="D284" s="31" t="str">
        <f t="shared" si="180"/>
        <v>TOTAL</v>
      </c>
      <c r="E284" s="85" t="str">
        <f t="shared" si="181"/>
        <v>tons/yr</v>
      </c>
      <c r="G284" s="72">
        <f t="shared" si="178"/>
        <v>-8.5349222060468186</v>
      </c>
      <c r="I284" s="74">
        <f>SUM(I270:I283)</f>
        <v>-0.12782841353153054</v>
      </c>
      <c r="J284" s="74">
        <f t="shared" ref="J284" si="196">SUM(J270:J283)</f>
        <v>-0.27221180780957188</v>
      </c>
      <c r="K284" s="74">
        <f t="shared" ref="K284" si="197">SUM(K270:K283)</f>
        <v>-0.34039586761883067</v>
      </c>
      <c r="L284" s="74">
        <f t="shared" ref="L284" si="198">SUM(L270:L283)</f>
        <v>-0.36642064630733601</v>
      </c>
      <c r="M284" s="74">
        <f t="shared" ref="M284" si="199">SUM(M270:M283)</f>
        <v>-0.39244589776697969</v>
      </c>
      <c r="N284" s="74">
        <f t="shared" ref="N284" si="200">SUM(N270:N283)</f>
        <v>-0.41847034742943345</v>
      </c>
      <c r="O284" s="74">
        <f t="shared" ref="O284" si="201">SUM(O270:O283)</f>
        <v>-0.44445641269163538</v>
      </c>
      <c r="P284" s="74">
        <f t="shared" ref="P284" si="202">SUM(P270:P283)</f>
        <v>-0.441216122381756</v>
      </c>
      <c r="Q284" s="74">
        <f t="shared" ref="Q284" si="203">SUM(Q270:Q283)</f>
        <v>-0.44113737947500881</v>
      </c>
      <c r="R284" s="74">
        <f t="shared" ref="R284" si="204">SUM(R270:R283)</f>
        <v>-0.44105863656826166</v>
      </c>
      <c r="S284" s="74">
        <f t="shared" ref="S284" si="205">SUM(S270:S283)</f>
        <v>-0.44097963487869807</v>
      </c>
      <c r="T284" s="74">
        <f t="shared" ref="T284" si="206">SUM(T270:T283)</f>
        <v>-0.44090116179954053</v>
      </c>
      <c r="U284" s="74">
        <f t="shared" ref="U284" si="207">SUM(U270:U283)</f>
        <v>-0.4408222086431377</v>
      </c>
      <c r="V284" s="74">
        <f t="shared" ref="V284" si="208">SUM(V270:V283)</f>
        <v>-0.4408222086431377</v>
      </c>
      <c r="W284" s="74">
        <f t="shared" ref="W284" si="209">SUM(W270:W283)</f>
        <v>-0.4408222086431377</v>
      </c>
      <c r="X284" s="74">
        <f t="shared" ref="X284" si="210">SUM(X270:X283)</f>
        <v>-0.4408222086431377</v>
      </c>
      <c r="Y284" s="74">
        <f t="shared" ref="Y284" si="211">SUM(Y270:Y283)</f>
        <v>-0.4408222086431377</v>
      </c>
      <c r="Z284" s="74">
        <f t="shared" ref="Z284" si="212">SUM(Z270:Z283)</f>
        <v>-0.4408222086431377</v>
      </c>
      <c r="AA284" s="74">
        <f t="shared" ref="AA284" si="213">SUM(AA270:AA283)</f>
        <v>-0.4408222086431377</v>
      </c>
      <c r="AB284" s="74">
        <f t="shared" ref="AB284" si="214">SUM(AB270:AB283)</f>
        <v>-0.4408222086431377</v>
      </c>
      <c r="AC284" s="74">
        <f t="shared" ref="AC284" si="215">SUM(AC270:AC283)</f>
        <v>-0.4408222086431377</v>
      </c>
    </row>
    <row r="286" spans="3:29" s="85" customFormat="1" ht="14.4" customHeight="1" x14ac:dyDescent="0.3">
      <c r="C286" s="93" t="s">
        <v>378</v>
      </c>
      <c r="D286" s="31" t="s">
        <v>371</v>
      </c>
    </row>
    <row r="287" spans="3:29" s="85" customFormat="1" x14ac:dyDescent="0.3">
      <c r="C287" s="93"/>
      <c r="D287" s="85" t="str">
        <f>D270</f>
        <v>Top Pick</v>
      </c>
      <c r="E287" s="85" t="str">
        <f>E219</f>
        <v>MT CO2/yr</v>
      </c>
      <c r="G287" s="11">
        <f t="shared" ref="G287:G301" si="216">SUM(I287:AC287)</f>
        <v>48729.460415999987</v>
      </c>
      <c r="I287" s="38">
        <f>I219-I151</f>
        <v>302.66745599999967</v>
      </c>
      <c r="J287" s="38">
        <f t="shared" ref="J287:AC300" si="217">J219-J151</f>
        <v>1059.336096</v>
      </c>
      <c r="K287" s="38">
        <f t="shared" si="217"/>
        <v>2270.0059199999996</v>
      </c>
      <c r="L287" s="38">
        <f t="shared" si="217"/>
        <v>2270.0059199999996</v>
      </c>
      <c r="M287" s="38">
        <f t="shared" si="217"/>
        <v>2270.0059199999996</v>
      </c>
      <c r="N287" s="38">
        <f t="shared" si="217"/>
        <v>2270.0059199999996</v>
      </c>
      <c r="O287" s="38">
        <f t="shared" si="217"/>
        <v>2270.0059199999996</v>
      </c>
      <c r="P287" s="38">
        <f t="shared" si="217"/>
        <v>2572.6733759999997</v>
      </c>
      <c r="Q287" s="38">
        <f t="shared" si="217"/>
        <v>2572.6733759999997</v>
      </c>
      <c r="R287" s="38">
        <f t="shared" si="217"/>
        <v>2572.6733759999997</v>
      </c>
      <c r="S287" s="38">
        <f t="shared" si="217"/>
        <v>2572.6733759999997</v>
      </c>
      <c r="T287" s="38">
        <f t="shared" si="217"/>
        <v>2572.6733759999997</v>
      </c>
      <c r="U287" s="38">
        <f t="shared" si="217"/>
        <v>2572.6733759999997</v>
      </c>
      <c r="V287" s="38">
        <f t="shared" si="217"/>
        <v>2572.6733759999997</v>
      </c>
      <c r="W287" s="38">
        <f t="shared" si="217"/>
        <v>2572.6733759999997</v>
      </c>
      <c r="X287" s="38">
        <f t="shared" si="217"/>
        <v>2572.6733759999997</v>
      </c>
      <c r="Y287" s="38">
        <f t="shared" si="217"/>
        <v>2572.6733759999997</v>
      </c>
      <c r="Z287" s="38">
        <f t="shared" si="217"/>
        <v>2572.6733759999997</v>
      </c>
      <c r="AA287" s="38">
        <f t="shared" si="217"/>
        <v>2572.6733759999997</v>
      </c>
      <c r="AB287" s="38">
        <f t="shared" si="217"/>
        <v>2572.6733759999997</v>
      </c>
      <c r="AC287" s="38">
        <f t="shared" si="217"/>
        <v>2572.6733759999997</v>
      </c>
    </row>
    <row r="288" spans="3:29" s="85" customFormat="1" x14ac:dyDescent="0.3">
      <c r="C288" s="93"/>
      <c r="D288" s="85" t="str">
        <f t="shared" ref="D288:D301" si="218">D271</f>
        <v>RTGs, Hybrid</v>
      </c>
      <c r="E288" s="85" t="str">
        <f t="shared" ref="E288:E301" si="219">E220</f>
        <v>MT CO2/yr</v>
      </c>
      <c r="G288" s="11">
        <f t="shared" si="216"/>
        <v>-35403.520071111103</v>
      </c>
      <c r="I288" s="38">
        <f t="shared" ref="I288:X288" si="220">I220-I152</f>
        <v>-300.02983111111109</v>
      </c>
      <c r="J288" s="38">
        <f t="shared" si="220"/>
        <v>-900.08949333333317</v>
      </c>
      <c r="K288" s="38">
        <f t="shared" si="220"/>
        <v>-1800.1789866666663</v>
      </c>
      <c r="L288" s="38">
        <f t="shared" si="220"/>
        <v>-1800.1789866666663</v>
      </c>
      <c r="M288" s="38">
        <f t="shared" si="220"/>
        <v>-1800.1789866666663</v>
      </c>
      <c r="N288" s="38">
        <f t="shared" si="220"/>
        <v>-1800.1789866666663</v>
      </c>
      <c r="O288" s="38">
        <f t="shared" si="220"/>
        <v>-1800.1789866666663</v>
      </c>
      <c r="P288" s="38">
        <f t="shared" si="220"/>
        <v>-1800.1789866666663</v>
      </c>
      <c r="Q288" s="38">
        <f t="shared" si="220"/>
        <v>-1800.1789866666663</v>
      </c>
      <c r="R288" s="38">
        <f t="shared" si="220"/>
        <v>-1800.1789866666663</v>
      </c>
      <c r="S288" s="38">
        <f t="shared" si="220"/>
        <v>-1800.1789866666663</v>
      </c>
      <c r="T288" s="38">
        <f t="shared" si="220"/>
        <v>-1800.1789866666663</v>
      </c>
      <c r="U288" s="38">
        <f t="shared" si="220"/>
        <v>-1800.1789866666663</v>
      </c>
      <c r="V288" s="38">
        <f t="shared" si="220"/>
        <v>-1800.1789866666663</v>
      </c>
      <c r="W288" s="38">
        <f t="shared" si="220"/>
        <v>-1800.1789866666663</v>
      </c>
      <c r="X288" s="38">
        <f t="shared" si="220"/>
        <v>-1800.1789866666663</v>
      </c>
      <c r="Y288" s="38">
        <f t="shared" si="217"/>
        <v>-1800.1789866666663</v>
      </c>
      <c r="Z288" s="38">
        <f t="shared" si="217"/>
        <v>-1800.1789866666663</v>
      </c>
      <c r="AA288" s="38">
        <f t="shared" si="217"/>
        <v>-1800.1789866666663</v>
      </c>
      <c r="AB288" s="38">
        <f t="shared" si="217"/>
        <v>-1800.1789866666663</v>
      </c>
      <c r="AC288" s="38">
        <f t="shared" si="217"/>
        <v>-1800.1789866666663</v>
      </c>
    </row>
    <row r="289" spans="3:29" s="85" customFormat="1" x14ac:dyDescent="0.3">
      <c r="C289" s="93"/>
      <c r="D289" s="85" t="str">
        <f t="shared" si="218"/>
        <v>Forklift, 10000 lb, Diesel</v>
      </c>
      <c r="E289" s="85" t="str">
        <f t="shared" si="219"/>
        <v>MT CO2/yr</v>
      </c>
      <c r="G289" s="11">
        <f t="shared" si="216"/>
        <v>4384.2271199999996</v>
      </c>
      <c r="I289" s="38">
        <f t="shared" ref="I289" si="221">I221-I153</f>
        <v>22.254960000000011</v>
      </c>
      <c r="J289" s="38">
        <f t="shared" si="217"/>
        <v>133.52976000000001</v>
      </c>
      <c r="K289" s="38">
        <f t="shared" si="217"/>
        <v>222.5496</v>
      </c>
      <c r="L289" s="38">
        <f t="shared" si="217"/>
        <v>222.5496</v>
      </c>
      <c r="M289" s="38">
        <f t="shared" si="217"/>
        <v>222.5496</v>
      </c>
      <c r="N289" s="38">
        <f t="shared" si="217"/>
        <v>222.5496</v>
      </c>
      <c r="O289" s="38">
        <f t="shared" si="217"/>
        <v>222.5496</v>
      </c>
      <c r="P289" s="38">
        <f t="shared" si="217"/>
        <v>222.5496</v>
      </c>
      <c r="Q289" s="38">
        <f t="shared" si="217"/>
        <v>222.5496</v>
      </c>
      <c r="R289" s="38">
        <f t="shared" si="217"/>
        <v>222.5496</v>
      </c>
      <c r="S289" s="38">
        <f t="shared" si="217"/>
        <v>222.5496</v>
      </c>
      <c r="T289" s="38">
        <f t="shared" si="217"/>
        <v>222.5496</v>
      </c>
      <c r="U289" s="38">
        <f t="shared" si="217"/>
        <v>222.5496</v>
      </c>
      <c r="V289" s="38">
        <f t="shared" si="217"/>
        <v>222.5496</v>
      </c>
      <c r="W289" s="38">
        <f t="shared" si="217"/>
        <v>222.5496</v>
      </c>
      <c r="X289" s="38">
        <f t="shared" si="217"/>
        <v>222.5496</v>
      </c>
      <c r="Y289" s="38">
        <f t="shared" si="217"/>
        <v>222.5496</v>
      </c>
      <c r="Z289" s="38">
        <f t="shared" si="217"/>
        <v>222.5496</v>
      </c>
      <c r="AA289" s="38">
        <f t="shared" si="217"/>
        <v>222.5496</v>
      </c>
      <c r="AB289" s="38">
        <f t="shared" si="217"/>
        <v>222.5496</v>
      </c>
      <c r="AC289" s="38">
        <f t="shared" si="217"/>
        <v>222.5496</v>
      </c>
    </row>
    <row r="290" spans="3:29" s="85" customFormat="1" x14ac:dyDescent="0.3">
      <c r="C290" s="93"/>
      <c r="D290" s="85" t="str">
        <f t="shared" si="218"/>
        <v>Forklift, 10000 lb, electric</v>
      </c>
      <c r="E290" s="85" t="str">
        <f t="shared" si="219"/>
        <v>MT CO2/yr</v>
      </c>
      <c r="G290" s="11">
        <f t="shared" si="216"/>
        <v>-2535.1819095051919</v>
      </c>
      <c r="I290" s="38">
        <f t="shared" ref="I290" si="222">I222-I154</f>
        <v>-12.868943703072032</v>
      </c>
      <c r="J290" s="38">
        <f t="shared" si="217"/>
        <v>-77.213662218432205</v>
      </c>
      <c r="K290" s="38">
        <f t="shared" si="217"/>
        <v>-128.68943703072034</v>
      </c>
      <c r="L290" s="38">
        <f t="shared" si="217"/>
        <v>-128.68943703072034</v>
      </c>
      <c r="M290" s="38">
        <f t="shared" si="217"/>
        <v>-128.68943703072034</v>
      </c>
      <c r="N290" s="38">
        <f t="shared" si="217"/>
        <v>-128.68943703072034</v>
      </c>
      <c r="O290" s="38">
        <f t="shared" si="217"/>
        <v>-128.68943703072034</v>
      </c>
      <c r="P290" s="38">
        <f t="shared" si="217"/>
        <v>-128.68943703072034</v>
      </c>
      <c r="Q290" s="38">
        <f t="shared" si="217"/>
        <v>-128.68943703072034</v>
      </c>
      <c r="R290" s="38">
        <f t="shared" si="217"/>
        <v>-128.68943703072034</v>
      </c>
      <c r="S290" s="38">
        <f t="shared" si="217"/>
        <v>-128.68943703072034</v>
      </c>
      <c r="T290" s="38">
        <f t="shared" si="217"/>
        <v>-128.68943703072034</v>
      </c>
      <c r="U290" s="38">
        <f t="shared" si="217"/>
        <v>-128.68943703072034</v>
      </c>
      <c r="V290" s="38">
        <f t="shared" si="217"/>
        <v>-128.68943703072034</v>
      </c>
      <c r="W290" s="38">
        <f t="shared" si="217"/>
        <v>-128.68943703072034</v>
      </c>
      <c r="X290" s="38">
        <f t="shared" si="217"/>
        <v>-128.68943703072034</v>
      </c>
      <c r="Y290" s="38">
        <f t="shared" si="217"/>
        <v>-128.68943703072034</v>
      </c>
      <c r="Z290" s="38">
        <f t="shared" si="217"/>
        <v>-128.68943703072034</v>
      </c>
      <c r="AA290" s="38">
        <f t="shared" si="217"/>
        <v>-128.68943703072034</v>
      </c>
      <c r="AB290" s="38">
        <f t="shared" si="217"/>
        <v>-128.68943703072034</v>
      </c>
      <c r="AC290" s="38">
        <f t="shared" si="217"/>
        <v>-128.68943703072034</v>
      </c>
    </row>
    <row r="291" spans="3:29" s="85" customFormat="1" x14ac:dyDescent="0.3">
      <c r="C291" s="93"/>
      <c r="D291" s="85" t="str">
        <f t="shared" si="218"/>
        <v>Forklift, 18000 lb, Diesel</v>
      </c>
      <c r="E291" s="85" t="str">
        <f t="shared" si="219"/>
        <v>MT CO2/yr</v>
      </c>
      <c r="G291" s="11">
        <f t="shared" si="216"/>
        <v>7232.8619999999992</v>
      </c>
      <c r="I291" s="38">
        <f t="shared" ref="I291" si="223">I223-I155</f>
        <v>0</v>
      </c>
      <c r="J291" s="38">
        <f t="shared" si="217"/>
        <v>185.45799999999994</v>
      </c>
      <c r="K291" s="38">
        <f t="shared" si="217"/>
        <v>370.91599999999988</v>
      </c>
      <c r="L291" s="38">
        <f t="shared" si="217"/>
        <v>370.91599999999988</v>
      </c>
      <c r="M291" s="38">
        <f t="shared" si="217"/>
        <v>370.91599999999988</v>
      </c>
      <c r="N291" s="38">
        <f t="shared" si="217"/>
        <v>370.91599999999988</v>
      </c>
      <c r="O291" s="38">
        <f t="shared" si="217"/>
        <v>370.91599999999988</v>
      </c>
      <c r="P291" s="38">
        <f t="shared" si="217"/>
        <v>370.91599999999988</v>
      </c>
      <c r="Q291" s="38">
        <f t="shared" si="217"/>
        <v>370.91599999999988</v>
      </c>
      <c r="R291" s="38">
        <f t="shared" si="217"/>
        <v>370.91599999999988</v>
      </c>
      <c r="S291" s="38">
        <f t="shared" si="217"/>
        <v>370.91599999999988</v>
      </c>
      <c r="T291" s="38">
        <f t="shared" si="217"/>
        <v>370.91599999999988</v>
      </c>
      <c r="U291" s="38">
        <f t="shared" si="217"/>
        <v>370.91599999999988</v>
      </c>
      <c r="V291" s="38">
        <f t="shared" si="217"/>
        <v>370.91599999999988</v>
      </c>
      <c r="W291" s="38">
        <f t="shared" si="217"/>
        <v>370.91599999999988</v>
      </c>
      <c r="X291" s="38">
        <f t="shared" si="217"/>
        <v>370.91599999999988</v>
      </c>
      <c r="Y291" s="38">
        <f t="shared" si="217"/>
        <v>370.91599999999988</v>
      </c>
      <c r="Z291" s="38">
        <f t="shared" si="217"/>
        <v>370.91599999999988</v>
      </c>
      <c r="AA291" s="38">
        <f t="shared" si="217"/>
        <v>370.91599999999988</v>
      </c>
      <c r="AB291" s="38">
        <f t="shared" si="217"/>
        <v>370.91599999999988</v>
      </c>
      <c r="AC291" s="38">
        <f t="shared" si="217"/>
        <v>370.91599999999988</v>
      </c>
    </row>
    <row r="292" spans="3:29" s="85" customFormat="1" x14ac:dyDescent="0.3">
      <c r="C292" s="93"/>
      <c r="D292" s="85" t="str">
        <f t="shared" si="218"/>
        <v>Forklift, 18000 lb, electric</v>
      </c>
      <c r="E292" s="85" t="str">
        <f t="shared" si="219"/>
        <v>MT CO2/yr</v>
      </c>
      <c r="G292" s="11">
        <f t="shared" si="216"/>
        <v>-2867.9360252560527</v>
      </c>
      <c r="I292" s="38">
        <f t="shared" ref="I292" si="224">I224-I156</f>
        <v>0</v>
      </c>
      <c r="J292" s="38">
        <f t="shared" si="217"/>
        <v>-73.536821160411634</v>
      </c>
      <c r="K292" s="38">
        <f t="shared" si="217"/>
        <v>-147.07364232082327</v>
      </c>
      <c r="L292" s="38">
        <f t="shared" si="217"/>
        <v>-147.07364232082327</v>
      </c>
      <c r="M292" s="38">
        <f t="shared" si="217"/>
        <v>-147.07364232082327</v>
      </c>
      <c r="N292" s="38">
        <f t="shared" si="217"/>
        <v>-147.07364232082327</v>
      </c>
      <c r="O292" s="38">
        <f t="shared" si="217"/>
        <v>-147.07364232082327</v>
      </c>
      <c r="P292" s="38">
        <f t="shared" si="217"/>
        <v>-147.07364232082327</v>
      </c>
      <c r="Q292" s="38">
        <f t="shared" si="217"/>
        <v>-147.07364232082327</v>
      </c>
      <c r="R292" s="38">
        <f t="shared" si="217"/>
        <v>-147.07364232082327</v>
      </c>
      <c r="S292" s="38">
        <f t="shared" si="217"/>
        <v>-147.07364232082327</v>
      </c>
      <c r="T292" s="38">
        <f t="shared" si="217"/>
        <v>-147.07364232082327</v>
      </c>
      <c r="U292" s="38">
        <f t="shared" si="217"/>
        <v>-147.07364232082327</v>
      </c>
      <c r="V292" s="38">
        <f t="shared" si="217"/>
        <v>-147.07364232082327</v>
      </c>
      <c r="W292" s="38">
        <f t="shared" si="217"/>
        <v>-147.07364232082327</v>
      </c>
      <c r="X292" s="38">
        <f t="shared" si="217"/>
        <v>-147.07364232082327</v>
      </c>
      <c r="Y292" s="38">
        <f t="shared" si="217"/>
        <v>-147.07364232082327</v>
      </c>
      <c r="Z292" s="38">
        <f t="shared" si="217"/>
        <v>-147.07364232082327</v>
      </c>
      <c r="AA292" s="38">
        <f t="shared" si="217"/>
        <v>-147.07364232082327</v>
      </c>
      <c r="AB292" s="38">
        <f t="shared" si="217"/>
        <v>-147.07364232082327</v>
      </c>
      <c r="AC292" s="38">
        <f t="shared" si="217"/>
        <v>-147.07364232082327</v>
      </c>
    </row>
    <row r="293" spans="3:29" s="85" customFormat="1" x14ac:dyDescent="0.3">
      <c r="C293" s="93"/>
      <c r="D293" s="85" t="str">
        <f t="shared" si="218"/>
        <v>Forklift, 36000 lb, diesel</v>
      </c>
      <c r="E293" s="85" t="str">
        <f t="shared" si="219"/>
        <v>MT CO2/yr</v>
      </c>
      <c r="G293" s="11">
        <f t="shared" si="216"/>
        <v>8476.1724320000012</v>
      </c>
      <c r="I293" s="38">
        <f t="shared" ref="I293" si="225">I225-I157</f>
        <v>43.026255999999989</v>
      </c>
      <c r="J293" s="38">
        <f t="shared" si="217"/>
        <v>258.15753599999994</v>
      </c>
      <c r="K293" s="38">
        <f t="shared" si="217"/>
        <v>430.26255999999995</v>
      </c>
      <c r="L293" s="38">
        <f t="shared" si="217"/>
        <v>430.26255999999995</v>
      </c>
      <c r="M293" s="38">
        <f t="shared" si="217"/>
        <v>430.26255999999995</v>
      </c>
      <c r="N293" s="38">
        <f t="shared" si="217"/>
        <v>430.26255999999995</v>
      </c>
      <c r="O293" s="38">
        <f t="shared" si="217"/>
        <v>430.26255999999995</v>
      </c>
      <c r="P293" s="38">
        <f t="shared" si="217"/>
        <v>430.26255999999995</v>
      </c>
      <c r="Q293" s="38">
        <f t="shared" si="217"/>
        <v>430.26255999999995</v>
      </c>
      <c r="R293" s="38">
        <f t="shared" si="217"/>
        <v>430.26255999999995</v>
      </c>
      <c r="S293" s="38">
        <f t="shared" si="217"/>
        <v>430.26255999999995</v>
      </c>
      <c r="T293" s="38">
        <f t="shared" si="217"/>
        <v>430.26255999999995</v>
      </c>
      <c r="U293" s="38">
        <f t="shared" si="217"/>
        <v>430.26255999999995</v>
      </c>
      <c r="V293" s="38">
        <f t="shared" si="217"/>
        <v>430.26255999999995</v>
      </c>
      <c r="W293" s="38">
        <f t="shared" si="217"/>
        <v>430.26255999999995</v>
      </c>
      <c r="X293" s="38">
        <f t="shared" si="217"/>
        <v>430.26255999999995</v>
      </c>
      <c r="Y293" s="38">
        <f t="shared" si="217"/>
        <v>430.26255999999995</v>
      </c>
      <c r="Z293" s="38">
        <f t="shared" si="217"/>
        <v>430.26255999999995</v>
      </c>
      <c r="AA293" s="38">
        <f t="shared" si="217"/>
        <v>430.26255999999995</v>
      </c>
      <c r="AB293" s="38">
        <f t="shared" si="217"/>
        <v>430.26255999999995</v>
      </c>
      <c r="AC293" s="38">
        <f t="shared" si="217"/>
        <v>430.26255999999995</v>
      </c>
    </row>
    <row r="294" spans="3:29" s="85" customFormat="1" x14ac:dyDescent="0.3">
      <c r="C294" s="93"/>
      <c r="D294" s="85" t="str">
        <f t="shared" si="218"/>
        <v>Forklift, 36000 lb, electric</v>
      </c>
      <c r="E294" s="85" t="str">
        <f t="shared" si="219"/>
        <v>MT CO2/yr</v>
      </c>
      <c r="G294" s="11">
        <f t="shared" si="216"/>
        <v>-3621.6884421502732</v>
      </c>
      <c r="I294" s="38">
        <f t="shared" ref="I294" si="226">I226-I158</f>
        <v>-18.384205290102908</v>
      </c>
      <c r="J294" s="38">
        <f t="shared" si="217"/>
        <v>-110.30523174061744</v>
      </c>
      <c r="K294" s="38">
        <f t="shared" si="217"/>
        <v>-183.84205290102909</v>
      </c>
      <c r="L294" s="38">
        <f t="shared" si="217"/>
        <v>-183.84205290102909</v>
      </c>
      <c r="M294" s="38">
        <f t="shared" si="217"/>
        <v>-183.84205290102909</v>
      </c>
      <c r="N294" s="38">
        <f t="shared" si="217"/>
        <v>-183.84205290102909</v>
      </c>
      <c r="O294" s="38">
        <f t="shared" si="217"/>
        <v>-183.84205290102909</v>
      </c>
      <c r="P294" s="38">
        <f t="shared" si="217"/>
        <v>-183.84205290102909</v>
      </c>
      <c r="Q294" s="38">
        <f t="shared" si="217"/>
        <v>-183.84205290102909</v>
      </c>
      <c r="R294" s="38">
        <f t="shared" si="217"/>
        <v>-183.84205290102909</v>
      </c>
      <c r="S294" s="38">
        <f t="shared" si="217"/>
        <v>-183.84205290102909</v>
      </c>
      <c r="T294" s="38">
        <f t="shared" si="217"/>
        <v>-183.84205290102909</v>
      </c>
      <c r="U294" s="38">
        <f t="shared" si="217"/>
        <v>-183.84205290102909</v>
      </c>
      <c r="V294" s="38">
        <f t="shared" si="217"/>
        <v>-183.84205290102909</v>
      </c>
      <c r="W294" s="38">
        <f t="shared" si="217"/>
        <v>-183.84205290102909</v>
      </c>
      <c r="X294" s="38">
        <f t="shared" si="217"/>
        <v>-183.84205290102909</v>
      </c>
      <c r="Y294" s="38">
        <f t="shared" si="217"/>
        <v>-183.84205290102909</v>
      </c>
      <c r="Z294" s="38">
        <f t="shared" si="217"/>
        <v>-183.84205290102909</v>
      </c>
      <c r="AA294" s="38">
        <f t="shared" si="217"/>
        <v>-183.84205290102909</v>
      </c>
      <c r="AB294" s="38">
        <f t="shared" si="217"/>
        <v>-183.84205290102909</v>
      </c>
      <c r="AC294" s="38">
        <f t="shared" si="217"/>
        <v>-183.84205290102909</v>
      </c>
    </row>
    <row r="295" spans="3:29" s="85" customFormat="1" x14ac:dyDescent="0.3">
      <c r="C295" s="93"/>
      <c r="D295" s="85" t="str">
        <f t="shared" si="218"/>
        <v>Yard Tractor, Diesel</v>
      </c>
      <c r="E295" s="85" t="str">
        <f t="shared" si="219"/>
        <v>MT CO2/yr</v>
      </c>
      <c r="G295" s="11">
        <f t="shared" si="216"/>
        <v>11691.272319999995</v>
      </c>
      <c r="I295" s="38">
        <f t="shared" ref="I295" si="227">I227-I159</f>
        <v>59.346560000000068</v>
      </c>
      <c r="J295" s="38">
        <f t="shared" si="217"/>
        <v>356.07936000000001</v>
      </c>
      <c r="K295" s="38">
        <f t="shared" si="217"/>
        <v>593.46559999999999</v>
      </c>
      <c r="L295" s="38">
        <f t="shared" si="217"/>
        <v>593.46559999999999</v>
      </c>
      <c r="M295" s="38">
        <f t="shared" si="217"/>
        <v>593.46559999999999</v>
      </c>
      <c r="N295" s="38">
        <f t="shared" si="217"/>
        <v>593.46559999999999</v>
      </c>
      <c r="O295" s="38">
        <f t="shared" si="217"/>
        <v>593.46559999999999</v>
      </c>
      <c r="P295" s="38">
        <f t="shared" si="217"/>
        <v>593.46559999999999</v>
      </c>
      <c r="Q295" s="38">
        <f t="shared" si="217"/>
        <v>593.46559999999999</v>
      </c>
      <c r="R295" s="38">
        <f t="shared" si="217"/>
        <v>593.46559999999999</v>
      </c>
      <c r="S295" s="38">
        <f t="shared" si="217"/>
        <v>593.46559999999999</v>
      </c>
      <c r="T295" s="38">
        <f t="shared" si="217"/>
        <v>593.46559999999999</v>
      </c>
      <c r="U295" s="38">
        <f t="shared" si="217"/>
        <v>593.46559999999999</v>
      </c>
      <c r="V295" s="38">
        <f t="shared" si="217"/>
        <v>593.46559999999999</v>
      </c>
      <c r="W295" s="38">
        <f t="shared" si="217"/>
        <v>593.46559999999999</v>
      </c>
      <c r="X295" s="38">
        <f t="shared" si="217"/>
        <v>593.46559999999999</v>
      </c>
      <c r="Y295" s="38">
        <f t="shared" si="217"/>
        <v>593.46559999999999</v>
      </c>
      <c r="Z295" s="38">
        <f t="shared" si="217"/>
        <v>593.46559999999999</v>
      </c>
      <c r="AA295" s="38">
        <f t="shared" si="217"/>
        <v>593.46559999999999</v>
      </c>
      <c r="AB295" s="38">
        <f t="shared" si="217"/>
        <v>593.46559999999999</v>
      </c>
      <c r="AC295" s="38">
        <f t="shared" si="217"/>
        <v>593.46559999999999</v>
      </c>
    </row>
    <row r="296" spans="3:29" s="85" customFormat="1" x14ac:dyDescent="0.3">
      <c r="C296" s="93"/>
      <c r="D296" s="85" t="str">
        <f t="shared" si="218"/>
        <v>Yard Tractor, electric</v>
      </c>
      <c r="E296" s="85" t="str">
        <f t="shared" si="219"/>
        <v>MT CO2/yr</v>
      </c>
      <c r="G296" s="11">
        <f t="shared" si="216"/>
        <v>-3749.5127401085165</v>
      </c>
      <c r="I296" s="38">
        <f t="shared" ref="I296" si="228">I228-I160</f>
        <v>-19.03305959445948</v>
      </c>
      <c r="J296" s="38">
        <f t="shared" si="217"/>
        <v>-114.19835756675688</v>
      </c>
      <c r="K296" s="38">
        <f t="shared" si="217"/>
        <v>-190.33059594459479</v>
      </c>
      <c r="L296" s="38">
        <f t="shared" si="217"/>
        <v>-190.33059594459479</v>
      </c>
      <c r="M296" s="38">
        <f t="shared" si="217"/>
        <v>-190.33059594459479</v>
      </c>
      <c r="N296" s="38">
        <f t="shared" si="217"/>
        <v>-190.33059594459479</v>
      </c>
      <c r="O296" s="38">
        <f t="shared" si="217"/>
        <v>-190.33059594459479</v>
      </c>
      <c r="P296" s="38">
        <f t="shared" si="217"/>
        <v>-190.33059594459479</v>
      </c>
      <c r="Q296" s="38">
        <f t="shared" si="217"/>
        <v>-190.33059594459479</v>
      </c>
      <c r="R296" s="38">
        <f t="shared" si="217"/>
        <v>-190.33059594459479</v>
      </c>
      <c r="S296" s="38">
        <f t="shared" si="217"/>
        <v>-190.33059594459479</v>
      </c>
      <c r="T296" s="38">
        <f t="shared" si="217"/>
        <v>-190.33059594459479</v>
      </c>
      <c r="U296" s="38">
        <f t="shared" si="217"/>
        <v>-190.33059594459479</v>
      </c>
      <c r="V296" s="38">
        <f t="shared" si="217"/>
        <v>-190.33059594459479</v>
      </c>
      <c r="W296" s="38">
        <f t="shared" si="217"/>
        <v>-190.33059594459479</v>
      </c>
      <c r="X296" s="38">
        <f t="shared" si="217"/>
        <v>-190.33059594459479</v>
      </c>
      <c r="Y296" s="38">
        <f t="shared" si="217"/>
        <v>-190.33059594459479</v>
      </c>
      <c r="Z296" s="38">
        <f t="shared" si="217"/>
        <v>-190.33059594459479</v>
      </c>
      <c r="AA296" s="38">
        <f t="shared" si="217"/>
        <v>-190.33059594459479</v>
      </c>
      <c r="AB296" s="38">
        <f t="shared" si="217"/>
        <v>-190.33059594459479</v>
      </c>
      <c r="AC296" s="38">
        <f t="shared" si="217"/>
        <v>-190.33059594459479</v>
      </c>
    </row>
    <row r="297" spans="3:29" s="85" customFormat="1" x14ac:dyDescent="0.3">
      <c r="C297" s="93"/>
      <c r="D297" s="85" t="str">
        <f t="shared" si="218"/>
        <v>Reefer Power Packs, 30 plugs, dual engine, Tier 3, 400 HP CAT</v>
      </c>
      <c r="E297" s="85" t="str">
        <f t="shared" si="219"/>
        <v>MT CO2/yr</v>
      </c>
      <c r="G297" s="11">
        <f t="shared" si="216"/>
        <v>6874.8316626000014</v>
      </c>
      <c r="I297" s="38">
        <f t="shared" ref="I297" si="229">I229-I161</f>
        <v>0</v>
      </c>
      <c r="J297" s="38">
        <f t="shared" si="217"/>
        <v>0</v>
      </c>
      <c r="K297" s="38">
        <f t="shared" si="217"/>
        <v>361.83324540000001</v>
      </c>
      <c r="L297" s="38">
        <f t="shared" si="217"/>
        <v>361.83324540000001</v>
      </c>
      <c r="M297" s="38">
        <f t="shared" si="217"/>
        <v>361.83324540000001</v>
      </c>
      <c r="N297" s="38">
        <f t="shared" si="217"/>
        <v>361.83324540000001</v>
      </c>
      <c r="O297" s="38">
        <f t="shared" si="217"/>
        <v>361.83324540000001</v>
      </c>
      <c r="P297" s="38">
        <f t="shared" si="217"/>
        <v>361.83324540000001</v>
      </c>
      <c r="Q297" s="38">
        <f t="shared" si="217"/>
        <v>361.83324540000001</v>
      </c>
      <c r="R297" s="38">
        <f t="shared" si="217"/>
        <v>361.83324540000001</v>
      </c>
      <c r="S297" s="38">
        <f t="shared" si="217"/>
        <v>361.83324540000001</v>
      </c>
      <c r="T297" s="38">
        <f t="shared" si="217"/>
        <v>361.83324540000001</v>
      </c>
      <c r="U297" s="38">
        <f t="shared" si="217"/>
        <v>361.83324540000001</v>
      </c>
      <c r="V297" s="38">
        <f t="shared" si="217"/>
        <v>361.83324540000001</v>
      </c>
      <c r="W297" s="38">
        <f t="shared" si="217"/>
        <v>361.83324540000001</v>
      </c>
      <c r="X297" s="38">
        <f t="shared" si="217"/>
        <v>361.83324540000001</v>
      </c>
      <c r="Y297" s="38">
        <f t="shared" si="217"/>
        <v>361.83324540000001</v>
      </c>
      <c r="Z297" s="38">
        <f t="shared" si="217"/>
        <v>361.83324540000001</v>
      </c>
      <c r="AA297" s="38">
        <f t="shared" si="217"/>
        <v>361.83324540000001</v>
      </c>
      <c r="AB297" s="38">
        <f t="shared" si="217"/>
        <v>361.83324540000001</v>
      </c>
      <c r="AC297" s="38">
        <f t="shared" si="217"/>
        <v>361.83324540000001</v>
      </c>
    </row>
    <row r="298" spans="3:29" s="85" customFormat="1" x14ac:dyDescent="0.3">
      <c r="C298" s="93"/>
      <c r="D298" s="85" t="str">
        <f t="shared" si="218"/>
        <v>Reefer Power Packs, 30 plugs, single engine, Tier 3 400 HP CAT</v>
      </c>
      <c r="E298" s="85" t="str">
        <f t="shared" si="219"/>
        <v>MT CO2/yr</v>
      </c>
      <c r="G298" s="11">
        <f t="shared" si="216"/>
        <v>5920.9076520000008</v>
      </c>
      <c r="I298" s="38">
        <f t="shared" ref="I298" si="230">I230-I162</f>
        <v>0</v>
      </c>
      <c r="J298" s="38">
        <f t="shared" si="217"/>
        <v>296.04538259999998</v>
      </c>
      <c r="K298" s="38">
        <f t="shared" si="217"/>
        <v>296.04538259999998</v>
      </c>
      <c r="L298" s="38">
        <f t="shared" si="217"/>
        <v>296.04538259999998</v>
      </c>
      <c r="M298" s="38">
        <f t="shared" si="217"/>
        <v>296.04538259999998</v>
      </c>
      <c r="N298" s="38">
        <f t="shared" si="217"/>
        <v>296.04538259999998</v>
      </c>
      <c r="O298" s="38">
        <f t="shared" si="217"/>
        <v>296.04538259999998</v>
      </c>
      <c r="P298" s="38">
        <f t="shared" si="217"/>
        <v>296.04538259999998</v>
      </c>
      <c r="Q298" s="38">
        <f t="shared" si="217"/>
        <v>296.04538259999998</v>
      </c>
      <c r="R298" s="38">
        <f t="shared" si="217"/>
        <v>296.04538259999998</v>
      </c>
      <c r="S298" s="38">
        <f t="shared" si="217"/>
        <v>296.04538259999998</v>
      </c>
      <c r="T298" s="38">
        <f t="shared" si="217"/>
        <v>296.04538259999998</v>
      </c>
      <c r="U298" s="38">
        <f t="shared" si="217"/>
        <v>296.04538259999998</v>
      </c>
      <c r="V298" s="38">
        <f t="shared" si="217"/>
        <v>296.04538259999998</v>
      </c>
      <c r="W298" s="38">
        <f t="shared" si="217"/>
        <v>296.04538259999998</v>
      </c>
      <c r="X298" s="38">
        <f t="shared" si="217"/>
        <v>296.04538259999998</v>
      </c>
      <c r="Y298" s="38">
        <f t="shared" si="217"/>
        <v>296.04538259999998</v>
      </c>
      <c r="Z298" s="38">
        <f t="shared" si="217"/>
        <v>296.04538259999998</v>
      </c>
      <c r="AA298" s="38">
        <f t="shared" si="217"/>
        <v>296.04538259999998</v>
      </c>
      <c r="AB298" s="38">
        <f t="shared" si="217"/>
        <v>296.04538259999998</v>
      </c>
      <c r="AC298" s="38">
        <f t="shared" si="217"/>
        <v>296.04538259999998</v>
      </c>
    </row>
    <row r="299" spans="3:29" s="85" customFormat="1" x14ac:dyDescent="0.3">
      <c r="C299" s="93"/>
      <c r="D299" s="85" t="str">
        <f t="shared" si="218"/>
        <v>Nose Mount genset 1 plug, single engine, Tier 3, 32-34HP, Kubota / Carrier or Yanmar</v>
      </c>
      <c r="E299" s="85" t="str">
        <f t="shared" si="219"/>
        <v>MT CO2/yr</v>
      </c>
      <c r="G299" s="11">
        <f t="shared" si="216"/>
        <v>67761.498684000006</v>
      </c>
      <c r="I299" s="38">
        <f t="shared" ref="I299" si="231">I231-I163</f>
        <v>1973.6358840000005</v>
      </c>
      <c r="J299" s="38">
        <f t="shared" si="217"/>
        <v>3289.3931400000006</v>
      </c>
      <c r="K299" s="38">
        <f t="shared" si="217"/>
        <v>3289.3931400000006</v>
      </c>
      <c r="L299" s="38">
        <f t="shared" si="217"/>
        <v>3289.3931400000006</v>
      </c>
      <c r="M299" s="38">
        <f t="shared" si="217"/>
        <v>3289.3931400000006</v>
      </c>
      <c r="N299" s="38">
        <f t="shared" si="217"/>
        <v>3289.3931400000006</v>
      </c>
      <c r="O299" s="38">
        <f t="shared" si="217"/>
        <v>3289.3931400000006</v>
      </c>
      <c r="P299" s="38">
        <f t="shared" si="217"/>
        <v>3289.3931400000006</v>
      </c>
      <c r="Q299" s="38">
        <f t="shared" si="217"/>
        <v>3289.3931400000006</v>
      </c>
      <c r="R299" s="38">
        <f t="shared" si="217"/>
        <v>3289.3931400000006</v>
      </c>
      <c r="S299" s="38">
        <f t="shared" si="217"/>
        <v>3289.3931400000006</v>
      </c>
      <c r="T299" s="38">
        <f t="shared" si="217"/>
        <v>3289.3931400000006</v>
      </c>
      <c r="U299" s="38">
        <f t="shared" si="217"/>
        <v>3289.3931400000006</v>
      </c>
      <c r="V299" s="38">
        <f t="shared" si="217"/>
        <v>3289.3931400000006</v>
      </c>
      <c r="W299" s="38">
        <f t="shared" si="217"/>
        <v>3289.3931400000006</v>
      </c>
      <c r="X299" s="38">
        <f t="shared" si="217"/>
        <v>3289.3931400000006</v>
      </c>
      <c r="Y299" s="38">
        <f t="shared" si="217"/>
        <v>3289.3931400000006</v>
      </c>
      <c r="Z299" s="38">
        <f t="shared" si="217"/>
        <v>3289.3931400000006</v>
      </c>
      <c r="AA299" s="38">
        <f t="shared" si="217"/>
        <v>3289.3931400000006</v>
      </c>
      <c r="AB299" s="38">
        <f t="shared" si="217"/>
        <v>3289.3931400000006</v>
      </c>
      <c r="AC299" s="38">
        <f t="shared" si="217"/>
        <v>3289.3931400000006</v>
      </c>
    </row>
    <row r="300" spans="3:29" s="85" customFormat="1" x14ac:dyDescent="0.3">
      <c r="C300" s="93"/>
      <c r="D300" s="85" t="str">
        <f t="shared" si="218"/>
        <v>Reefer, electric</v>
      </c>
      <c r="E300" s="85" t="str">
        <f t="shared" si="219"/>
        <v>MT CO2/yr</v>
      </c>
      <c r="G300" s="11">
        <f t="shared" si="216"/>
        <v>-35216.921806730883</v>
      </c>
      <c r="I300" s="38">
        <f t="shared" ref="I300" si="232">I232-I164</f>
        <v>-654.18430600738463</v>
      </c>
      <c r="J300" s="38">
        <f t="shared" si="217"/>
        <v>-1417.3993296826668</v>
      </c>
      <c r="K300" s="38">
        <f t="shared" si="217"/>
        <v>-1744.4914826863592</v>
      </c>
      <c r="L300" s="38">
        <f t="shared" si="217"/>
        <v>-1744.4914826863592</v>
      </c>
      <c r="M300" s="38">
        <f t="shared" si="217"/>
        <v>-1744.4914826863592</v>
      </c>
      <c r="N300" s="38">
        <f t="shared" si="217"/>
        <v>-1744.4914826863592</v>
      </c>
      <c r="O300" s="38">
        <f t="shared" si="217"/>
        <v>-1744.4914826863592</v>
      </c>
      <c r="P300" s="38">
        <f t="shared" si="217"/>
        <v>-1744.4914826863592</v>
      </c>
      <c r="Q300" s="38">
        <f t="shared" si="217"/>
        <v>-1744.4914826863592</v>
      </c>
      <c r="R300" s="38">
        <f t="shared" si="217"/>
        <v>-1744.4914826863592</v>
      </c>
      <c r="S300" s="38">
        <f t="shared" si="217"/>
        <v>-1744.4914826863592</v>
      </c>
      <c r="T300" s="38">
        <f t="shared" ref="T300:AC300" si="233">T232-T164</f>
        <v>-1744.4914826863592</v>
      </c>
      <c r="U300" s="38">
        <f t="shared" si="233"/>
        <v>-1744.4914826863592</v>
      </c>
      <c r="V300" s="38">
        <f t="shared" si="233"/>
        <v>-1744.4914826863592</v>
      </c>
      <c r="W300" s="38">
        <f t="shared" si="233"/>
        <v>-1744.4914826863592</v>
      </c>
      <c r="X300" s="38">
        <f t="shared" si="233"/>
        <v>-1744.4914826863592</v>
      </c>
      <c r="Y300" s="38">
        <f t="shared" si="233"/>
        <v>-1744.4914826863592</v>
      </c>
      <c r="Z300" s="38">
        <f t="shared" si="233"/>
        <v>-1744.4914826863592</v>
      </c>
      <c r="AA300" s="38">
        <f t="shared" si="233"/>
        <v>-1744.4914826863592</v>
      </c>
      <c r="AB300" s="38">
        <f t="shared" si="233"/>
        <v>-1744.4914826863592</v>
      </c>
      <c r="AC300" s="38">
        <f t="shared" si="233"/>
        <v>-1744.4914826863592</v>
      </c>
    </row>
    <row r="301" spans="3:29" s="85" customFormat="1" x14ac:dyDescent="0.3">
      <c r="C301" s="93"/>
      <c r="D301" s="31" t="str">
        <f t="shared" si="218"/>
        <v>TOTAL</v>
      </c>
      <c r="E301" s="85" t="str">
        <f t="shared" si="219"/>
        <v>MT CO2/yr</v>
      </c>
      <c r="G301" s="72">
        <f t="shared" si="216"/>
        <v>77676.47129173798</v>
      </c>
      <c r="I301" s="74">
        <f>SUM(I287:I300)</f>
        <v>1396.43077029387</v>
      </c>
      <c r="J301" s="74">
        <f t="shared" ref="J301" si="234">SUM(J287:J300)</f>
        <v>2885.2563788977823</v>
      </c>
      <c r="K301" s="74">
        <f t="shared" ref="K301" si="235">SUM(K287:K300)</f>
        <v>3639.8652504498073</v>
      </c>
      <c r="L301" s="74">
        <f t="shared" ref="L301" si="236">SUM(L287:L300)</f>
        <v>3639.8652504498073</v>
      </c>
      <c r="M301" s="74">
        <f t="shared" ref="M301" si="237">SUM(M287:M300)</f>
        <v>3639.8652504498073</v>
      </c>
      <c r="N301" s="74">
        <f t="shared" ref="N301" si="238">SUM(N287:N300)</f>
        <v>3639.8652504498073</v>
      </c>
      <c r="O301" s="74">
        <f t="shared" ref="O301" si="239">SUM(O287:O300)</f>
        <v>3639.8652504498073</v>
      </c>
      <c r="P301" s="74">
        <f t="shared" ref="P301" si="240">SUM(P287:P300)</f>
        <v>3942.5327064498065</v>
      </c>
      <c r="Q301" s="74">
        <f t="shared" ref="Q301" si="241">SUM(Q287:Q300)</f>
        <v>3942.5327064498065</v>
      </c>
      <c r="R301" s="74">
        <f t="shared" ref="R301" si="242">SUM(R287:R300)</f>
        <v>3942.5327064498065</v>
      </c>
      <c r="S301" s="74">
        <f t="shared" ref="S301" si="243">SUM(S287:S300)</f>
        <v>3942.5327064498065</v>
      </c>
      <c r="T301" s="74">
        <f t="shared" ref="T301" si="244">SUM(T287:T300)</f>
        <v>3942.5327064498065</v>
      </c>
      <c r="U301" s="74">
        <f t="shared" ref="U301" si="245">SUM(U287:U300)</f>
        <v>3942.5327064498065</v>
      </c>
      <c r="V301" s="74">
        <f t="shared" ref="V301" si="246">SUM(V287:V300)</f>
        <v>3942.5327064498065</v>
      </c>
      <c r="W301" s="74">
        <f t="shared" ref="W301" si="247">SUM(W287:W300)</f>
        <v>3942.5327064498065</v>
      </c>
      <c r="X301" s="74">
        <f t="shared" ref="X301" si="248">SUM(X287:X300)</f>
        <v>3942.5327064498065</v>
      </c>
      <c r="Y301" s="74">
        <f t="shared" ref="Y301" si="249">SUM(Y287:Y300)</f>
        <v>3942.5327064498065</v>
      </c>
      <c r="Z301" s="74">
        <f t="shared" ref="Z301" si="250">SUM(Z287:Z300)</f>
        <v>3942.5327064498065</v>
      </c>
      <c r="AA301" s="74">
        <f t="shared" ref="AA301" si="251">SUM(AA287:AA300)</f>
        <v>3942.5327064498065</v>
      </c>
      <c r="AB301" s="74">
        <f t="shared" ref="AB301" si="252">SUM(AB287:AB300)</f>
        <v>3942.5327064498065</v>
      </c>
      <c r="AC301" s="74">
        <f t="shared" ref="AC301" si="253">SUM(AC287:AC300)</f>
        <v>3942.5327064498065</v>
      </c>
    </row>
    <row r="305" spans="3:24" x14ac:dyDescent="0.3">
      <c r="D305" t="s">
        <v>404</v>
      </c>
    </row>
    <row r="306" spans="3:24" s="85" customFormat="1" x14ac:dyDescent="0.3">
      <c r="D306" s="85" t="s">
        <v>407</v>
      </c>
      <c r="E306" s="85" t="s">
        <v>408</v>
      </c>
      <c r="F306" s="85" t="s">
        <v>409</v>
      </c>
      <c r="G306" s="85" t="s">
        <v>182</v>
      </c>
      <c r="H306" s="85" t="s">
        <v>326</v>
      </c>
      <c r="I306" s="85" t="s">
        <v>327</v>
      </c>
      <c r="J306" s="85" t="s">
        <v>328</v>
      </c>
      <c r="K306" s="85" t="s">
        <v>329</v>
      </c>
      <c r="L306" s="31" t="s">
        <v>330</v>
      </c>
      <c r="M306" s="85" t="s">
        <v>331</v>
      </c>
      <c r="N306" s="85" t="s">
        <v>332</v>
      </c>
      <c r="O306" s="31" t="s">
        <v>333</v>
      </c>
      <c r="P306" s="31" t="s">
        <v>334</v>
      </c>
      <c r="Q306" s="85" t="s">
        <v>335</v>
      </c>
      <c r="R306" s="85" t="s">
        <v>336</v>
      </c>
      <c r="S306" s="85" t="s">
        <v>410</v>
      </c>
      <c r="T306" s="85" t="s">
        <v>411</v>
      </c>
      <c r="U306" s="85" t="s">
        <v>412</v>
      </c>
      <c r="V306" s="85" t="s">
        <v>413</v>
      </c>
      <c r="X306" s="85" t="s">
        <v>414</v>
      </c>
    </row>
    <row r="307" spans="3:24" s="85" customFormat="1" x14ac:dyDescent="0.3">
      <c r="D307" s="85" t="s">
        <v>405</v>
      </c>
      <c r="E307" s="85">
        <v>1997</v>
      </c>
      <c r="F307" s="85">
        <v>300</v>
      </c>
      <c r="G307" s="85" t="s">
        <v>406</v>
      </c>
      <c r="H307" s="85">
        <v>9.0257354723399699E-4</v>
      </c>
      <c r="I307" s="85">
        <v>1.0921139921531301E-3</v>
      </c>
      <c r="J307" s="85">
        <v>1.29970590801695E-3</v>
      </c>
      <c r="K307" s="85">
        <v>3.0523125162689501E-3</v>
      </c>
      <c r="L307" s="31">
        <v>4.6914719100883601E-2</v>
      </c>
      <c r="M307" s="85">
        <v>3.27044572942998</v>
      </c>
      <c r="N307" s="85">
        <v>9.0723827115318204E-4</v>
      </c>
      <c r="O307" s="31">
        <v>8.3465920946092698E-4</v>
      </c>
      <c r="P307" s="31">
        <v>2.6181840037994798E-4</v>
      </c>
      <c r="Q307" s="85">
        <v>2.6692938395210402E-5</v>
      </c>
      <c r="R307" s="85">
        <v>106106.009939155</v>
      </c>
      <c r="S307" s="85">
        <v>13533.379963900299</v>
      </c>
      <c r="T307" s="85">
        <v>6.7174288371444497</v>
      </c>
      <c r="U307" s="85">
        <v>3481406.3542359299</v>
      </c>
      <c r="V307" s="85">
        <f t="shared" ref="V307:V312" si="254">U307/F307</f>
        <v>11604.6878474531</v>
      </c>
      <c r="W307" s="85">
        <f t="shared" ref="W307:W312" si="255">360*8*2</f>
        <v>5760</v>
      </c>
      <c r="X307" s="85">
        <f t="shared" ref="X307:X312" si="256">V307/W307</f>
        <v>2.0147027512939411</v>
      </c>
    </row>
    <row r="308" spans="3:24" s="10" customFormat="1" x14ac:dyDescent="0.3">
      <c r="D308" s="10" t="s">
        <v>405</v>
      </c>
      <c r="E308" s="10">
        <v>1999</v>
      </c>
      <c r="F308" s="10">
        <v>300</v>
      </c>
      <c r="G308" s="10" t="s">
        <v>406</v>
      </c>
      <c r="H308" s="10">
        <v>2.0992355549444299E-3</v>
      </c>
      <c r="I308" s="10">
        <v>2.5400750214827602E-3</v>
      </c>
      <c r="J308" s="10">
        <v>3.02289919911998E-3</v>
      </c>
      <c r="K308" s="10">
        <v>7.30209269338381E-3</v>
      </c>
      <c r="L308" s="99">
        <v>9.3837332724112807E-2</v>
      </c>
      <c r="M308" s="10">
        <v>6.9045904416187103</v>
      </c>
      <c r="N308" s="10">
        <v>1.8190816035824199E-3</v>
      </c>
      <c r="O308" s="99">
        <v>1.6735550752958201E-3</v>
      </c>
      <c r="P308" s="99">
        <v>5.5270267574459696E-4</v>
      </c>
      <c r="Q308" s="10">
        <v>5.6354338995378998E-5</v>
      </c>
      <c r="R308" s="10">
        <v>224011.832831081</v>
      </c>
      <c r="S308" s="10">
        <v>29258.785533411901</v>
      </c>
      <c r="T308" s="10">
        <v>13.341746551028599</v>
      </c>
      <c r="U308" s="10">
        <v>7354753.3398395199</v>
      </c>
      <c r="V308" s="10">
        <f t="shared" si="254"/>
        <v>24515.844466131733</v>
      </c>
      <c r="W308" s="10">
        <f t="shared" si="255"/>
        <v>5760</v>
      </c>
      <c r="X308" s="10">
        <f t="shared" si="256"/>
        <v>4.2562229975923147</v>
      </c>
    </row>
    <row r="309" spans="3:24" s="85" customFormat="1" x14ac:dyDescent="0.3">
      <c r="D309" s="85" t="s">
        <v>405</v>
      </c>
      <c r="E309" s="85">
        <v>2000</v>
      </c>
      <c r="F309" s="85">
        <v>300</v>
      </c>
      <c r="G309" s="85" t="s">
        <v>406</v>
      </c>
      <c r="H309" s="85">
        <v>4.8357851081454904E-3</v>
      </c>
      <c r="I309" s="85">
        <v>5.8512999808560404E-3</v>
      </c>
      <c r="J309" s="85">
        <v>6.96353055572951E-3</v>
      </c>
      <c r="K309" s="85">
        <v>1.63536007196462E-2</v>
      </c>
      <c r="L309" s="31">
        <v>0.176655122394202</v>
      </c>
      <c r="M309" s="85">
        <v>12.3147063797547</v>
      </c>
      <c r="N309" s="85">
        <v>3.5671388122753699E-3</v>
      </c>
      <c r="O309" s="31">
        <v>3.2817677072933399E-3</v>
      </c>
      <c r="P309" s="31">
        <v>1.13710493987246E-4</v>
      </c>
      <c r="Q309" s="85">
        <v>1.00510977996626E-4</v>
      </c>
      <c r="R309" s="85">
        <v>399537.08626615198</v>
      </c>
      <c r="S309" s="85">
        <v>51119.3288723078</v>
      </c>
      <c r="T309" s="85">
        <v>27.619183919298699</v>
      </c>
      <c r="U309" s="85">
        <v>13115311.3334333</v>
      </c>
      <c r="V309" s="85">
        <f t="shared" si="254"/>
        <v>43717.704444777664</v>
      </c>
      <c r="W309" s="85">
        <f t="shared" si="255"/>
        <v>5760</v>
      </c>
      <c r="X309" s="85">
        <f t="shared" si="256"/>
        <v>7.5898792438850116</v>
      </c>
    </row>
    <row r="310" spans="3:24" s="85" customFormat="1" x14ac:dyDescent="0.3">
      <c r="D310" s="85" t="s">
        <v>405</v>
      </c>
      <c r="E310" s="85">
        <v>2001</v>
      </c>
      <c r="F310" s="85">
        <v>300</v>
      </c>
      <c r="G310" s="85" t="s">
        <v>406</v>
      </c>
      <c r="H310" s="85">
        <v>2.70493241847432E-3</v>
      </c>
      <c r="I310" s="85">
        <v>3.2729682263539302E-3</v>
      </c>
      <c r="J310" s="85">
        <v>3.8951026826030198E-3</v>
      </c>
      <c r="K310" s="85">
        <v>9.1475083685676993E-3</v>
      </c>
      <c r="L310" s="31">
        <v>8.8185221947989806E-2</v>
      </c>
      <c r="M310" s="85">
        <v>6.1474306581365896</v>
      </c>
      <c r="N310" s="85">
        <v>1.84885807783466E-3</v>
      </c>
      <c r="O310" s="31">
        <v>1.70094943160789E-3</v>
      </c>
      <c r="P310" s="31">
        <v>5.6754897071005497E-5</v>
      </c>
      <c r="Q310" s="85">
        <v>5.0174502628138198E-5</v>
      </c>
      <c r="R310" s="85">
        <v>199446.617518463</v>
      </c>
      <c r="S310" s="85">
        <v>25588.137415164299</v>
      </c>
      <c r="T310" s="85">
        <v>13.4223824118761</v>
      </c>
      <c r="U310" s="85">
        <v>6546451.8733439399</v>
      </c>
      <c r="V310" s="85">
        <f t="shared" si="254"/>
        <v>21821.506244479799</v>
      </c>
      <c r="W310" s="85">
        <f t="shared" si="255"/>
        <v>5760</v>
      </c>
      <c r="X310" s="85">
        <f t="shared" si="256"/>
        <v>3.7884559452221871</v>
      </c>
    </row>
    <row r="311" spans="3:24" s="85" customFormat="1" x14ac:dyDescent="0.3">
      <c r="D311" s="85" t="s">
        <v>405</v>
      </c>
      <c r="E311" s="85">
        <v>2003</v>
      </c>
      <c r="F311" s="85">
        <v>300</v>
      </c>
      <c r="G311" s="85" t="s">
        <v>406</v>
      </c>
      <c r="H311" s="85">
        <v>1.72409687364336E-3</v>
      </c>
      <c r="I311" s="85">
        <v>2.0861572171084601E-3</v>
      </c>
      <c r="J311" s="85">
        <v>2.4826994980464302E-3</v>
      </c>
      <c r="K311" s="85">
        <v>5.4735158377375703E-3</v>
      </c>
      <c r="L311" s="31">
        <v>6.3219414351574299E-2</v>
      </c>
      <c r="M311" s="85">
        <v>5.8244370585973204</v>
      </c>
      <c r="N311" s="85">
        <v>1.2321669878375299E-3</v>
      </c>
      <c r="O311" s="31">
        <v>1.1335936288105299E-3</v>
      </c>
      <c r="P311" s="31">
        <v>5.3798086131923001E-5</v>
      </c>
      <c r="Q311" s="85">
        <v>4.7538272288963002E-5</v>
      </c>
      <c r="R311" s="85">
        <v>188967.44589528101</v>
      </c>
      <c r="S311" s="85">
        <v>23992.411456908201</v>
      </c>
      <c r="T311" s="85">
        <v>12</v>
      </c>
      <c r="U311" s="85">
        <v>6197718.0588739598</v>
      </c>
      <c r="V311" s="85">
        <f t="shared" si="254"/>
        <v>20659.060196246533</v>
      </c>
      <c r="W311" s="85">
        <f t="shared" si="255"/>
        <v>5760</v>
      </c>
      <c r="X311" s="85">
        <f t="shared" si="256"/>
        <v>3.5866423951816899</v>
      </c>
    </row>
    <row r="312" spans="3:24" s="85" customFormat="1" x14ac:dyDescent="0.3">
      <c r="D312" s="85" t="s">
        <v>405</v>
      </c>
      <c r="E312" s="85">
        <v>2004</v>
      </c>
      <c r="F312" s="85">
        <v>300</v>
      </c>
      <c r="G312" s="85" t="s">
        <v>406</v>
      </c>
      <c r="H312" s="85">
        <v>3.8793911829350701E-3</v>
      </c>
      <c r="I312" s="85">
        <v>4.6940633313514403E-3</v>
      </c>
      <c r="J312" s="85">
        <v>5.5863233034265103E-3</v>
      </c>
      <c r="K312" s="85">
        <v>1.4270078083303101E-2</v>
      </c>
      <c r="L312" s="31">
        <v>9.1628302180908797E-2</v>
      </c>
      <c r="M312" s="85">
        <v>9.4180760365613594</v>
      </c>
      <c r="N312" s="85">
        <v>2.1362089099452699E-3</v>
      </c>
      <c r="O312" s="31">
        <v>1.9653121971496502E-3</v>
      </c>
      <c r="P312" s="31">
        <v>8.6958401796910105E-5</v>
      </c>
      <c r="Q312" s="85">
        <v>7.6869070531605105E-5</v>
      </c>
      <c r="R312" s="85">
        <v>305559.10484937998</v>
      </c>
      <c r="S312" s="85">
        <v>39267.484728542098</v>
      </c>
      <c r="T312" s="85">
        <v>19</v>
      </c>
      <c r="U312" s="85">
        <v>10030367.5519641</v>
      </c>
      <c r="V312" s="85">
        <f t="shared" si="254"/>
        <v>33434.558506547</v>
      </c>
      <c r="W312" s="85">
        <f t="shared" si="255"/>
        <v>5760</v>
      </c>
      <c r="X312" s="85">
        <f t="shared" si="256"/>
        <v>5.8046108518310762</v>
      </c>
    </row>
    <row r="313" spans="3:24" s="85" customFormat="1" x14ac:dyDescent="0.3">
      <c r="D313" s="85" t="s">
        <v>405</v>
      </c>
      <c r="E313" s="85">
        <v>2026</v>
      </c>
      <c r="F313" s="85">
        <v>300</v>
      </c>
      <c r="G313" s="85" t="s">
        <v>406</v>
      </c>
      <c r="H313" s="85">
        <v>9.9999999999999995E-8</v>
      </c>
      <c r="I313" s="85">
        <v>1.2099999999999901E-7</v>
      </c>
      <c r="J313" s="85">
        <v>1.4399999999999999E-7</v>
      </c>
      <c r="K313" s="85">
        <v>2.04E-6</v>
      </c>
      <c r="L313" s="31">
        <v>2.5499999999999999E-7</v>
      </c>
      <c r="M313" s="85">
        <v>1.1733570000000001E-3</v>
      </c>
      <c r="N313" s="85">
        <v>1.8600000000000001E-8</v>
      </c>
      <c r="O313" s="31">
        <v>1.7199999999999999E-8</v>
      </c>
      <c r="P313" s="31">
        <v>1.11E-8</v>
      </c>
      <c r="Q313" s="85">
        <v>2.6200000000000001E-11</v>
      </c>
      <c r="R313" s="85">
        <v>38.068267059999997</v>
      </c>
      <c r="S313" s="85">
        <v>6.0835888550000004</v>
      </c>
      <c r="T313" s="85">
        <v>1.2167177709999999</v>
      </c>
      <c r="U313" s="85">
        <v>0</v>
      </c>
    </row>
    <row r="314" spans="3:24" s="85" customFormat="1" x14ac:dyDescent="0.3">
      <c r="D314" s="85" t="s">
        <v>405</v>
      </c>
      <c r="E314" s="85">
        <v>2027</v>
      </c>
      <c r="F314" s="85">
        <v>300</v>
      </c>
      <c r="G314" s="85" t="s">
        <v>406</v>
      </c>
      <c r="H314" s="85">
        <v>3.5319999999999899E-4</v>
      </c>
      <c r="I314" s="85">
        <v>4.2719999999999998E-4</v>
      </c>
      <c r="J314" s="85">
        <v>5.0849999999999995E-4</v>
      </c>
      <c r="K314" s="85">
        <v>7.2198100000000001E-3</v>
      </c>
      <c r="L314" s="31">
        <v>9.0044500000000004E-4</v>
      </c>
      <c r="M314" s="85">
        <v>4.1437244980000001</v>
      </c>
      <c r="N314" s="85">
        <v>6.5850000000000001E-5</v>
      </c>
      <c r="O314" s="31">
        <v>6.0599999999999901E-5</v>
      </c>
      <c r="P314" s="31">
        <v>3.9199999999999997E-5</v>
      </c>
      <c r="Q314" s="85">
        <v>9.2689999999999899E-8</v>
      </c>
      <c r="R314" s="85">
        <v>134438.577789</v>
      </c>
      <c r="S314" s="85">
        <v>18154.037501999999</v>
      </c>
      <c r="T314" s="85">
        <v>11.2680232739999</v>
      </c>
      <c r="U314" s="85">
        <v>0</v>
      </c>
    </row>
    <row r="315" spans="3:24" s="85" customFormat="1" x14ac:dyDescent="0.3">
      <c r="D315" s="85" t="s">
        <v>405</v>
      </c>
      <c r="E315" s="85">
        <v>2028</v>
      </c>
      <c r="F315" s="85">
        <v>300</v>
      </c>
      <c r="G315" s="85" t="s">
        <v>406</v>
      </c>
      <c r="H315" s="85">
        <v>1.8412299999999999E-3</v>
      </c>
      <c r="I315" s="85">
        <v>2.2278889999999998E-3</v>
      </c>
      <c r="J315" s="85">
        <v>2.65137099999999E-3</v>
      </c>
      <c r="K315" s="85">
        <v>1.3124379999999901E-2</v>
      </c>
      <c r="L315" s="31">
        <v>1.4416979999999999E-3</v>
      </c>
      <c r="M315" s="85">
        <v>5.7420661549999998</v>
      </c>
      <c r="N315" s="85">
        <v>1.3119999999999999E-4</v>
      </c>
      <c r="O315" s="31">
        <v>1.20599999999999E-4</v>
      </c>
      <c r="P315" s="31">
        <v>5.431E-5</v>
      </c>
      <c r="Q315" s="85">
        <v>1.286E-7</v>
      </c>
      <c r="R315" s="85">
        <v>186295.01268000001</v>
      </c>
      <c r="S315" s="85">
        <v>23110.858226</v>
      </c>
      <c r="T315" s="85">
        <v>11.855522015999901</v>
      </c>
      <c r="U315" s="85">
        <v>0</v>
      </c>
    </row>
    <row r="316" spans="3:24" s="85" customFormat="1" x14ac:dyDescent="0.3">
      <c r="D316" s="85" t="s">
        <v>405</v>
      </c>
      <c r="E316" s="85">
        <v>2029</v>
      </c>
      <c r="F316" s="85">
        <v>300</v>
      </c>
      <c r="G316" s="85" t="s">
        <v>406</v>
      </c>
      <c r="H316" s="85">
        <v>5.1535330000000001E-3</v>
      </c>
      <c r="I316" s="85">
        <v>6.2357749999999998E-3</v>
      </c>
      <c r="J316" s="85">
        <v>7.4210869999999998E-3</v>
      </c>
      <c r="K316" s="85">
        <v>3.6704489E-2</v>
      </c>
      <c r="L316" s="31">
        <v>4.0312589999999997E-3</v>
      </c>
      <c r="M316" s="85">
        <v>16.05232028</v>
      </c>
      <c r="N316" s="85">
        <v>3.6680000000000003E-4</v>
      </c>
      <c r="O316" s="31">
        <v>3.3739999999999899E-4</v>
      </c>
      <c r="P316" s="31">
        <v>1.5169000000000001E-4</v>
      </c>
      <c r="Q316" s="85">
        <v>3.5890000000000002E-7</v>
      </c>
      <c r="R316" s="85">
        <v>520799.852989999</v>
      </c>
      <c r="S316" s="85">
        <v>65621.796291000006</v>
      </c>
      <c r="T316" s="85">
        <v>22.229103779999999</v>
      </c>
      <c r="U316" s="85">
        <v>0</v>
      </c>
    </row>
    <row r="317" spans="3:24" s="85" customFormat="1" x14ac:dyDescent="0.3">
      <c r="D317" s="85" t="s">
        <v>427</v>
      </c>
      <c r="E317" s="85">
        <v>2003</v>
      </c>
      <c r="F317" s="85">
        <v>300</v>
      </c>
      <c r="G317" s="85" t="s">
        <v>406</v>
      </c>
      <c r="H317" s="85">
        <v>1.11457029364511E-5</v>
      </c>
      <c r="I317" s="85">
        <v>1.3486300553105799E-5</v>
      </c>
      <c r="J317" s="85">
        <v>1.60498122284896E-5</v>
      </c>
      <c r="K317" s="85">
        <v>6.1916290965307005E-5</v>
      </c>
      <c r="L317" s="31">
        <v>3.12321660231516E-4</v>
      </c>
      <c r="M317" s="85">
        <v>3.3171135017779997E-2</v>
      </c>
      <c r="N317" s="85">
        <v>6.9139893402552797E-6</v>
      </c>
      <c r="O317" s="31">
        <v>6.3608701930348598E-6</v>
      </c>
      <c r="P317" s="31">
        <v>2.6550265928085898E-6</v>
      </c>
      <c r="Q317" s="85">
        <v>2.70738344795324E-7</v>
      </c>
      <c r="R317" s="85">
        <v>1076.20094417622</v>
      </c>
      <c r="S317" s="85">
        <v>174.65452466007099</v>
      </c>
      <c r="T317" s="85">
        <v>0.13109930219083599</v>
      </c>
      <c r="U317" s="85">
        <v>42497.824650655799</v>
      </c>
      <c r="V317" s="85" t="s">
        <v>121</v>
      </c>
    </row>
    <row r="318" spans="3:24" s="85" customFormat="1" x14ac:dyDescent="0.3">
      <c r="C318" s="85">
        <v>2007</v>
      </c>
      <c r="D318" s="85" t="s">
        <v>427</v>
      </c>
      <c r="E318" s="85">
        <v>2003</v>
      </c>
      <c r="F318" s="85">
        <v>50</v>
      </c>
      <c r="G318" s="85" t="s">
        <v>406</v>
      </c>
      <c r="H318" s="85">
        <v>5.2719935582943504E-4</v>
      </c>
      <c r="I318" s="85">
        <v>6.3791122055361596E-4</v>
      </c>
      <c r="J318" s="85">
        <v>7.5916707239438697E-4</v>
      </c>
      <c r="K318" s="85">
        <v>1.85727483215611E-3</v>
      </c>
      <c r="L318" s="85">
        <v>1.47103024203312E-3</v>
      </c>
      <c r="M318" s="85">
        <v>0.14160100404991599</v>
      </c>
      <c r="N318" s="85">
        <v>1.9269015313214401E-4</v>
      </c>
      <c r="O318" s="85">
        <v>1.7727494088157201E-4</v>
      </c>
      <c r="P318" s="85">
        <v>1.293355523967E-6</v>
      </c>
      <c r="Q318" s="85">
        <v>1.1557283595294901E-6</v>
      </c>
      <c r="R318" s="85">
        <v>4594.0886307670198</v>
      </c>
      <c r="S318" s="85">
        <v>3404.7080992145002</v>
      </c>
      <c r="T318" s="85">
        <v>2</v>
      </c>
      <c r="U318" s="85">
        <v>156616.572563867</v>
      </c>
    </row>
    <row r="319" spans="3:24" s="85" customFormat="1" x14ac:dyDescent="0.3">
      <c r="L319" s="31"/>
      <c r="O319" s="31"/>
      <c r="P319" s="31"/>
    </row>
    <row r="320" spans="3:24" s="85" customFormat="1" x14ac:dyDescent="0.3">
      <c r="L320" s="31"/>
      <c r="O320" s="31"/>
      <c r="P320" s="31"/>
    </row>
    <row r="321" spans="4:66" s="85" customFormat="1" x14ac:dyDescent="0.3">
      <c r="L321" s="31"/>
      <c r="O321" s="31"/>
      <c r="P321" s="31"/>
    </row>
    <row r="322" spans="4:66" x14ac:dyDescent="0.3">
      <c r="D322" s="31" t="s">
        <v>415</v>
      </c>
      <c r="L322" s="31" t="s">
        <v>321</v>
      </c>
      <c r="O322" s="31" t="s">
        <v>108</v>
      </c>
      <c r="P322" s="31" t="s">
        <v>322</v>
      </c>
      <c r="R322" s="85">
        <v>2023</v>
      </c>
      <c r="S322" s="85">
        <f>R322+1</f>
        <v>2024</v>
      </c>
      <c r="T322" s="85">
        <f t="shared" ref="T322:AO322" si="257">S322+1</f>
        <v>2025</v>
      </c>
      <c r="U322" s="85">
        <f t="shared" si="257"/>
        <v>2026</v>
      </c>
      <c r="V322" s="85">
        <f t="shared" si="257"/>
        <v>2027</v>
      </c>
      <c r="W322" s="85">
        <f t="shared" si="257"/>
        <v>2028</v>
      </c>
      <c r="X322" s="85">
        <f t="shared" si="257"/>
        <v>2029</v>
      </c>
      <c r="Y322" s="85">
        <f t="shared" si="257"/>
        <v>2030</v>
      </c>
      <c r="Z322" s="85">
        <f t="shared" si="257"/>
        <v>2031</v>
      </c>
      <c r="AA322" s="85">
        <f t="shared" si="257"/>
        <v>2032</v>
      </c>
      <c r="AB322" s="85">
        <f t="shared" si="257"/>
        <v>2033</v>
      </c>
      <c r="AC322" s="85">
        <f t="shared" si="257"/>
        <v>2034</v>
      </c>
      <c r="AD322" s="85">
        <f t="shared" si="257"/>
        <v>2035</v>
      </c>
      <c r="AE322" s="85">
        <f t="shared" si="257"/>
        <v>2036</v>
      </c>
      <c r="AF322" s="85">
        <f t="shared" si="257"/>
        <v>2037</v>
      </c>
      <c r="AG322" s="85">
        <f t="shared" si="257"/>
        <v>2038</v>
      </c>
      <c r="AH322" s="85">
        <f t="shared" si="257"/>
        <v>2039</v>
      </c>
      <c r="AI322" s="85">
        <f t="shared" si="257"/>
        <v>2040</v>
      </c>
      <c r="AJ322" s="85">
        <f t="shared" si="257"/>
        <v>2041</v>
      </c>
      <c r="AK322" s="85">
        <f t="shared" si="257"/>
        <v>2042</v>
      </c>
      <c r="AL322" s="85">
        <f t="shared" si="257"/>
        <v>2043</v>
      </c>
      <c r="AM322" s="85">
        <f t="shared" si="257"/>
        <v>2044</v>
      </c>
      <c r="AN322" s="85">
        <f t="shared" si="257"/>
        <v>2045</v>
      </c>
      <c r="AO322" s="85">
        <f t="shared" si="257"/>
        <v>2046</v>
      </c>
      <c r="AQ322">
        <v>2023</v>
      </c>
      <c r="AR322">
        <f>AQ322+1</f>
        <v>2024</v>
      </c>
      <c r="AS322" s="85">
        <f t="shared" ref="AS322:BN322" si="258">AR322+1</f>
        <v>2025</v>
      </c>
      <c r="AT322" s="85">
        <f t="shared" si="258"/>
        <v>2026</v>
      </c>
      <c r="AU322" s="85">
        <f t="shared" si="258"/>
        <v>2027</v>
      </c>
      <c r="AV322" s="85">
        <f t="shared" si="258"/>
        <v>2028</v>
      </c>
      <c r="AW322" s="85">
        <f t="shared" si="258"/>
        <v>2029</v>
      </c>
      <c r="AX322" s="85">
        <f t="shared" si="258"/>
        <v>2030</v>
      </c>
      <c r="AY322" s="85">
        <f t="shared" si="258"/>
        <v>2031</v>
      </c>
      <c r="AZ322" s="85">
        <f t="shared" si="258"/>
        <v>2032</v>
      </c>
      <c r="BA322" s="85">
        <f t="shared" si="258"/>
        <v>2033</v>
      </c>
      <c r="BB322" s="85">
        <f t="shared" si="258"/>
        <v>2034</v>
      </c>
      <c r="BC322" s="85">
        <f t="shared" si="258"/>
        <v>2035</v>
      </c>
      <c r="BD322" s="85">
        <f t="shared" si="258"/>
        <v>2036</v>
      </c>
      <c r="BE322" s="85">
        <f t="shared" si="258"/>
        <v>2037</v>
      </c>
      <c r="BF322" s="85">
        <f t="shared" si="258"/>
        <v>2038</v>
      </c>
      <c r="BG322" s="85">
        <f t="shared" si="258"/>
        <v>2039</v>
      </c>
      <c r="BH322" s="85">
        <f t="shared" si="258"/>
        <v>2040</v>
      </c>
      <c r="BI322" s="85">
        <f t="shared" si="258"/>
        <v>2041</v>
      </c>
      <c r="BJ322" s="85">
        <f t="shared" si="258"/>
        <v>2042</v>
      </c>
      <c r="BK322" s="85">
        <f t="shared" si="258"/>
        <v>2043</v>
      </c>
      <c r="BL322" s="85">
        <f t="shared" si="258"/>
        <v>2044</v>
      </c>
      <c r="BM322" s="85">
        <f t="shared" si="258"/>
        <v>2045</v>
      </c>
      <c r="BN322" s="85">
        <f t="shared" si="258"/>
        <v>2046</v>
      </c>
    </row>
    <row r="323" spans="4:66" x14ac:dyDescent="0.3">
      <c r="D323" s="85" t="s">
        <v>405</v>
      </c>
      <c r="E323" s="85">
        <v>1997</v>
      </c>
      <c r="F323" s="85">
        <v>300</v>
      </c>
      <c r="G323" s="85" t="s">
        <v>406</v>
      </c>
      <c r="H323" s="85">
        <f>(H307/$R307)*365</f>
        <v>3.1048132422406728E-6</v>
      </c>
      <c r="I323" s="85">
        <f>(I307/$R307)*365</f>
        <v>3.7568240231111923E-6</v>
      </c>
      <c r="J323" s="85">
        <f>(J307/$R307)*365</f>
        <v>4.4709310688265495E-6</v>
      </c>
      <c r="K323" s="85">
        <f>(K307/$R307)*365</f>
        <v>1.0499820595242704E-5</v>
      </c>
      <c r="L323" s="31">
        <f>(L307/$R307)*365</f>
        <v>1.6138456701596788E-4</v>
      </c>
      <c r="M323" s="85">
        <f>(M307/$R307)*365</f>
        <v>1.1250189239294366E-2</v>
      </c>
      <c r="N323" s="85">
        <f>(N307/$R307)*365</f>
        <v>3.1208596870318671E-6</v>
      </c>
      <c r="O323" s="31">
        <f>(O307/$R307)*365</f>
        <v>2.8711909120693159E-6</v>
      </c>
      <c r="P323" s="31">
        <f>(P307/$R307)*365</f>
        <v>9.0064376366127316E-7</v>
      </c>
      <c r="Q323" s="85">
        <f>(Q307/$R307)*365</f>
        <v>9.1822532200002039E-8</v>
      </c>
      <c r="R323" s="85">
        <v>7</v>
      </c>
      <c r="S323" s="85">
        <v>2</v>
      </c>
      <c r="T323" s="85">
        <v>0</v>
      </c>
      <c r="U323">
        <f t="shared" ref="U323:Z324" si="259">T323</f>
        <v>0</v>
      </c>
      <c r="V323" s="85">
        <f t="shared" si="259"/>
        <v>0</v>
      </c>
      <c r="W323" s="85">
        <f t="shared" si="259"/>
        <v>0</v>
      </c>
      <c r="X323" s="85">
        <f t="shared" si="259"/>
        <v>0</v>
      </c>
      <c r="Y323" s="85">
        <f t="shared" si="259"/>
        <v>0</v>
      </c>
      <c r="Z323" s="85">
        <f t="shared" si="259"/>
        <v>0</v>
      </c>
      <c r="AA323" s="85">
        <f t="shared" ref="AA323:AO323" si="260">Z323</f>
        <v>0</v>
      </c>
      <c r="AB323" s="85">
        <f t="shared" si="260"/>
        <v>0</v>
      </c>
      <c r="AC323" s="85">
        <f t="shared" si="260"/>
        <v>0</v>
      </c>
      <c r="AD323" s="85">
        <f t="shared" si="260"/>
        <v>0</v>
      </c>
      <c r="AE323" s="85">
        <f t="shared" si="260"/>
        <v>0</v>
      </c>
      <c r="AF323" s="85">
        <f t="shared" si="260"/>
        <v>0</v>
      </c>
      <c r="AG323" s="85">
        <f t="shared" si="260"/>
        <v>0</v>
      </c>
      <c r="AH323" s="85">
        <f t="shared" si="260"/>
        <v>0</v>
      </c>
      <c r="AI323" s="85">
        <f t="shared" si="260"/>
        <v>0</v>
      </c>
      <c r="AJ323" s="85">
        <f t="shared" si="260"/>
        <v>0</v>
      </c>
      <c r="AK323" s="85">
        <f t="shared" si="260"/>
        <v>0</v>
      </c>
      <c r="AL323" s="85">
        <f t="shared" si="260"/>
        <v>0</v>
      </c>
      <c r="AM323" s="85">
        <f t="shared" si="260"/>
        <v>0</v>
      </c>
      <c r="AN323" s="85">
        <f t="shared" si="260"/>
        <v>0</v>
      </c>
      <c r="AO323" s="85">
        <f t="shared" si="260"/>
        <v>0</v>
      </c>
      <c r="AP323" s="85"/>
      <c r="AQ323" s="85">
        <f t="shared" ref="AQ323:AQ332" si="261">R323</f>
        <v>7</v>
      </c>
      <c r="AR323" s="85">
        <f t="shared" ref="AR323:AS332" si="262">AQ323</f>
        <v>7</v>
      </c>
      <c r="AS323" s="85">
        <f t="shared" si="262"/>
        <v>7</v>
      </c>
      <c r="AT323" s="85">
        <v>5</v>
      </c>
      <c r="AU323" s="85">
        <v>3</v>
      </c>
      <c r="AV323" s="85">
        <v>1</v>
      </c>
      <c r="AW323" s="85">
        <v>0</v>
      </c>
      <c r="AX323" s="85">
        <v>0</v>
      </c>
      <c r="AY323" s="85">
        <v>0</v>
      </c>
      <c r="AZ323" s="85">
        <v>0</v>
      </c>
      <c r="BA323" s="85">
        <v>0</v>
      </c>
      <c r="BB323" s="85">
        <v>0</v>
      </c>
      <c r="BC323">
        <v>0</v>
      </c>
      <c r="BD323" s="85">
        <v>0</v>
      </c>
      <c r="BE323" s="85">
        <v>0</v>
      </c>
      <c r="BF323" s="85">
        <v>0</v>
      </c>
      <c r="BG323" s="85">
        <v>0</v>
      </c>
      <c r="BH323" s="85">
        <v>0</v>
      </c>
      <c r="BI323" s="85">
        <v>0</v>
      </c>
      <c r="BJ323" s="85">
        <v>0</v>
      </c>
      <c r="BK323" s="85">
        <v>0</v>
      </c>
      <c r="BL323" s="85">
        <v>0</v>
      </c>
      <c r="BM323" s="85">
        <v>0</v>
      </c>
      <c r="BN323" s="85">
        <v>0</v>
      </c>
    </row>
    <row r="324" spans="4:66" s="10" customFormat="1" x14ac:dyDescent="0.3">
      <c r="D324" s="10" t="s">
        <v>405</v>
      </c>
      <c r="E324" s="10">
        <v>1999</v>
      </c>
      <c r="F324" s="10">
        <v>300</v>
      </c>
      <c r="G324" s="10" t="s">
        <v>406</v>
      </c>
      <c r="H324" s="10">
        <f>(H308/$R308)*365</f>
        <v>3.4204486784075182E-6</v>
      </c>
      <c r="I324" s="10">
        <f>(I308/$R308)*365</f>
        <v>4.1387429008730971E-6</v>
      </c>
      <c r="J324" s="10">
        <f>(J308/$R308)*365</f>
        <v>4.9254460969068274E-6</v>
      </c>
      <c r="K324" s="10">
        <f>(K308/$R308)*365</f>
        <v>1.1897870748171E-5</v>
      </c>
      <c r="L324" s="99">
        <f>(L308/$R308)*365</f>
        <v>1.5289650556150888E-4</v>
      </c>
      <c r="M324" s="10">
        <f>(M308/$R308)*365</f>
        <v>1.1250189239294337E-2</v>
      </c>
      <c r="N324" s="10">
        <f>(N308/$R308)*365</f>
        <v>2.9639719336087681E-6</v>
      </c>
      <c r="O324" s="99">
        <f>(O308/$R308)*365</f>
        <v>2.7268541789200566E-6</v>
      </c>
      <c r="P324" s="99">
        <f>(P308/$R308)*365</f>
        <v>9.0056169844786664E-7</v>
      </c>
      <c r="Q324" s="10">
        <f>(Q308/$R308)*365</f>
        <v>9.1822532200001708E-8</v>
      </c>
      <c r="R324" s="10">
        <f>'1_MODEL_assumptions'!I21</f>
        <v>1</v>
      </c>
      <c r="S324" s="10">
        <f t="shared" ref="S324:S331" si="263">R324</f>
        <v>1</v>
      </c>
      <c r="T324" s="10">
        <v>0</v>
      </c>
      <c r="U324" s="10">
        <f t="shared" si="259"/>
        <v>0</v>
      </c>
      <c r="V324" s="10">
        <f t="shared" si="259"/>
        <v>0</v>
      </c>
      <c r="W324" s="10">
        <f t="shared" si="259"/>
        <v>0</v>
      </c>
      <c r="X324" s="10">
        <f t="shared" si="259"/>
        <v>0</v>
      </c>
      <c r="Y324" s="10">
        <f t="shared" si="259"/>
        <v>0</v>
      </c>
      <c r="Z324" s="10">
        <f t="shared" si="259"/>
        <v>0</v>
      </c>
      <c r="AA324" s="10">
        <f t="shared" ref="AA324:AO324" si="264">Z324</f>
        <v>0</v>
      </c>
      <c r="AB324" s="10">
        <f t="shared" si="264"/>
        <v>0</v>
      </c>
      <c r="AC324" s="10">
        <f t="shared" si="264"/>
        <v>0</v>
      </c>
      <c r="AD324" s="10">
        <f t="shared" si="264"/>
        <v>0</v>
      </c>
      <c r="AE324" s="10">
        <f t="shared" si="264"/>
        <v>0</v>
      </c>
      <c r="AF324" s="10">
        <f t="shared" si="264"/>
        <v>0</v>
      </c>
      <c r="AG324" s="10">
        <f t="shared" si="264"/>
        <v>0</v>
      </c>
      <c r="AH324" s="10">
        <f t="shared" si="264"/>
        <v>0</v>
      </c>
      <c r="AI324" s="10">
        <f t="shared" si="264"/>
        <v>0</v>
      </c>
      <c r="AJ324" s="10">
        <f t="shared" si="264"/>
        <v>0</v>
      </c>
      <c r="AK324" s="10">
        <f t="shared" si="264"/>
        <v>0</v>
      </c>
      <c r="AL324" s="10">
        <f t="shared" si="264"/>
        <v>0</v>
      </c>
      <c r="AM324" s="10">
        <f t="shared" si="264"/>
        <v>0</v>
      </c>
      <c r="AN324" s="10">
        <f t="shared" si="264"/>
        <v>0</v>
      </c>
      <c r="AO324" s="10">
        <f t="shared" si="264"/>
        <v>0</v>
      </c>
      <c r="AQ324" s="10">
        <f t="shared" si="261"/>
        <v>1</v>
      </c>
      <c r="AR324" s="10">
        <f t="shared" si="262"/>
        <v>1</v>
      </c>
      <c r="AS324" s="10">
        <f t="shared" si="262"/>
        <v>1</v>
      </c>
      <c r="AT324" s="10">
        <f t="shared" ref="AT324:AV328" si="265">AS324</f>
        <v>1</v>
      </c>
      <c r="AU324" s="10">
        <f t="shared" si="265"/>
        <v>1</v>
      </c>
      <c r="AV324" s="10">
        <f t="shared" si="265"/>
        <v>1</v>
      </c>
      <c r="AW324" s="10">
        <v>0</v>
      </c>
      <c r="AX324" s="10">
        <v>0</v>
      </c>
      <c r="AY324" s="10">
        <v>0</v>
      </c>
      <c r="AZ324" s="10">
        <v>0</v>
      </c>
      <c r="BA324" s="10">
        <v>0</v>
      </c>
      <c r="BB324" s="10">
        <v>0</v>
      </c>
      <c r="BC324" s="10">
        <v>0</v>
      </c>
      <c r="BD324" s="10">
        <v>0</v>
      </c>
      <c r="BE324" s="10">
        <v>0</v>
      </c>
      <c r="BF324" s="10">
        <v>0</v>
      </c>
      <c r="BG324" s="10">
        <v>0</v>
      </c>
      <c r="BH324" s="10">
        <v>0</v>
      </c>
      <c r="BI324" s="10">
        <v>0</v>
      </c>
      <c r="BJ324" s="10">
        <v>0</v>
      </c>
      <c r="BK324" s="10">
        <v>0</v>
      </c>
      <c r="BL324" s="10">
        <v>0</v>
      </c>
      <c r="BM324" s="10">
        <v>0</v>
      </c>
      <c r="BN324" s="10">
        <v>0</v>
      </c>
    </row>
    <row r="325" spans="4:66" x14ac:dyDescent="0.3">
      <c r="D325" s="85" t="s">
        <v>405</v>
      </c>
      <c r="E325" s="85">
        <v>2000</v>
      </c>
      <c r="F325" s="85">
        <v>300</v>
      </c>
      <c r="G325" s="85" t="s">
        <v>406</v>
      </c>
      <c r="H325" s="85">
        <f>(H309/$R309)*365</f>
        <v>4.4177665231740383E-6</v>
      </c>
      <c r="I325" s="85">
        <f>(I309/$R309)*365</f>
        <v>5.3454974930405839E-6</v>
      </c>
      <c r="J325" s="85">
        <f>(J309/$R309)*365</f>
        <v>6.3615837933706186E-6</v>
      </c>
      <c r="K325" s="85">
        <f>(K309/$R309)*365</f>
        <v>1.4939950427266635E-5</v>
      </c>
      <c r="L325" s="31">
        <f>(L309/$R309)*365</f>
        <v>1.6138456701596634E-4</v>
      </c>
      <c r="M325" s="85">
        <f>(M309/$R309)*365</f>
        <v>1.1250189239294309E-2</v>
      </c>
      <c r="N325" s="85">
        <f>(N309/$R309)*365</f>
        <v>3.2587855076191295E-6</v>
      </c>
      <c r="O325" s="31">
        <f>(O309/$R309)*365</f>
        <v>2.9980826670095991E-6</v>
      </c>
      <c r="P325" s="31">
        <f>(P309/$R309)*365</f>
        <v>1.0388104567018002E-7</v>
      </c>
      <c r="Q325" s="85">
        <f>(Q309/$R309)*365</f>
        <v>9.1822532200001443E-8</v>
      </c>
      <c r="R325">
        <f>'1_MODEL_assumptions'!I22</f>
        <v>7</v>
      </c>
      <c r="S325" s="85">
        <f t="shared" si="263"/>
        <v>7</v>
      </c>
      <c r="T325" s="85">
        <v>2</v>
      </c>
      <c r="U325" s="85">
        <v>0</v>
      </c>
      <c r="V325" s="85">
        <f>U325</f>
        <v>0</v>
      </c>
      <c r="W325" s="85">
        <f>V325</f>
        <v>0</v>
      </c>
      <c r="X325" s="85">
        <f>W325</f>
        <v>0</v>
      </c>
      <c r="Y325" s="85">
        <f>X325</f>
        <v>0</v>
      </c>
      <c r="Z325" s="85">
        <f>Y325</f>
        <v>0</v>
      </c>
      <c r="AA325" s="85">
        <f t="shared" ref="AA325:AO325" si="266">Z325</f>
        <v>0</v>
      </c>
      <c r="AB325" s="85">
        <f t="shared" si="266"/>
        <v>0</v>
      </c>
      <c r="AC325" s="85">
        <f t="shared" si="266"/>
        <v>0</v>
      </c>
      <c r="AD325" s="85">
        <f t="shared" si="266"/>
        <v>0</v>
      </c>
      <c r="AE325" s="85">
        <f t="shared" si="266"/>
        <v>0</v>
      </c>
      <c r="AF325" s="85">
        <f t="shared" si="266"/>
        <v>0</v>
      </c>
      <c r="AG325" s="85">
        <f t="shared" si="266"/>
        <v>0</v>
      </c>
      <c r="AH325" s="85">
        <f t="shared" si="266"/>
        <v>0</v>
      </c>
      <c r="AI325" s="85">
        <f t="shared" si="266"/>
        <v>0</v>
      </c>
      <c r="AJ325" s="85">
        <f t="shared" si="266"/>
        <v>0</v>
      </c>
      <c r="AK325" s="85">
        <f t="shared" si="266"/>
        <v>0</v>
      </c>
      <c r="AL325" s="85">
        <f t="shared" si="266"/>
        <v>0</v>
      </c>
      <c r="AM325" s="85">
        <f t="shared" si="266"/>
        <v>0</v>
      </c>
      <c r="AN325" s="85">
        <f t="shared" si="266"/>
        <v>0</v>
      </c>
      <c r="AO325" s="85">
        <f t="shared" si="266"/>
        <v>0</v>
      </c>
      <c r="AP325" s="85"/>
      <c r="AQ325" s="85">
        <f t="shared" si="261"/>
        <v>7</v>
      </c>
      <c r="AR325" s="85">
        <f t="shared" si="262"/>
        <v>7</v>
      </c>
      <c r="AS325" s="85">
        <f t="shared" si="262"/>
        <v>7</v>
      </c>
      <c r="AT325" s="85">
        <f t="shared" si="265"/>
        <v>7</v>
      </c>
      <c r="AU325" s="85">
        <f t="shared" si="265"/>
        <v>7</v>
      </c>
      <c r="AV325" s="85">
        <f t="shared" si="265"/>
        <v>7</v>
      </c>
      <c r="AW325" s="85">
        <v>7</v>
      </c>
      <c r="AX325" s="85">
        <v>5</v>
      </c>
      <c r="AY325" s="85">
        <v>3</v>
      </c>
      <c r="AZ325" s="85">
        <v>1</v>
      </c>
      <c r="BA325" s="85">
        <v>0</v>
      </c>
      <c r="BB325" s="85">
        <v>0</v>
      </c>
      <c r="BC325">
        <v>0</v>
      </c>
      <c r="BD325" s="85">
        <v>0</v>
      </c>
      <c r="BE325" s="85">
        <v>0</v>
      </c>
      <c r="BF325" s="85">
        <v>0</v>
      </c>
      <c r="BG325" s="85">
        <v>0</v>
      </c>
      <c r="BH325" s="85">
        <v>0</v>
      </c>
      <c r="BI325" s="85">
        <v>0</v>
      </c>
      <c r="BJ325" s="85">
        <v>0</v>
      </c>
      <c r="BK325" s="85">
        <v>0</v>
      </c>
      <c r="BL325" s="85">
        <v>0</v>
      </c>
      <c r="BM325" s="85">
        <v>0</v>
      </c>
      <c r="BN325" s="85">
        <v>0</v>
      </c>
    </row>
    <row r="326" spans="4:66" x14ac:dyDescent="0.3">
      <c r="D326" s="85" t="s">
        <v>405</v>
      </c>
      <c r="E326" s="85">
        <v>2001</v>
      </c>
      <c r="F326" s="85">
        <v>300</v>
      </c>
      <c r="G326" s="85" t="s">
        <v>406</v>
      </c>
      <c r="H326" s="85">
        <f>(H310/$R310)*365</f>
        <v>4.950198429169807E-6</v>
      </c>
      <c r="I326" s="85">
        <f>(I310/$R310)*365</f>
        <v>5.9897400992954717E-6</v>
      </c>
      <c r="J326" s="85">
        <f>(J310/$R310)*365</f>
        <v>7.1282857380045195E-6</v>
      </c>
      <c r="K326" s="85">
        <f>(K310/$R310)*365</f>
        <v>1.6740522331586447E-5</v>
      </c>
      <c r="L326" s="31">
        <f>(L310/$R310)*365</f>
        <v>1.6138456701596674E-4</v>
      </c>
      <c r="M326" s="85">
        <f>(M310/$R310)*365</f>
        <v>1.1250189239294285E-2</v>
      </c>
      <c r="N326" s="85">
        <f>(N310/$R310)*365</f>
        <v>3.3835279174247259E-6</v>
      </c>
      <c r="O326" s="31">
        <f>(O310/$R310)*365</f>
        <v>3.1128456840307526E-6</v>
      </c>
      <c r="P326" s="31">
        <f>(P310/$R310)*365</f>
        <v>1.0386507271299973E-7</v>
      </c>
      <c r="Q326" s="85">
        <f>(Q310/$R310)*365</f>
        <v>9.1822532200001457E-8</v>
      </c>
      <c r="R326" s="85">
        <f>'1_MODEL_assumptions'!I23</f>
        <v>2</v>
      </c>
      <c r="S326" s="85">
        <f t="shared" si="263"/>
        <v>2</v>
      </c>
      <c r="T326" s="85">
        <f t="shared" ref="T326:U328" si="267">S326</f>
        <v>2</v>
      </c>
      <c r="U326" s="85">
        <f t="shared" si="267"/>
        <v>2</v>
      </c>
      <c r="V326" s="85">
        <v>0</v>
      </c>
      <c r="W326" s="85">
        <f>V326</f>
        <v>0</v>
      </c>
      <c r="X326" s="85">
        <f>W326</f>
        <v>0</v>
      </c>
      <c r="Y326" s="85">
        <f>X326</f>
        <v>0</v>
      </c>
      <c r="Z326" s="85">
        <f>Y326</f>
        <v>0</v>
      </c>
      <c r="AA326" s="85">
        <f t="shared" ref="AA326:AO326" si="268">Z326</f>
        <v>0</v>
      </c>
      <c r="AB326" s="85">
        <f t="shared" si="268"/>
        <v>0</v>
      </c>
      <c r="AC326" s="85">
        <f t="shared" si="268"/>
        <v>0</v>
      </c>
      <c r="AD326" s="85">
        <f t="shared" si="268"/>
        <v>0</v>
      </c>
      <c r="AE326" s="85">
        <f t="shared" si="268"/>
        <v>0</v>
      </c>
      <c r="AF326" s="85">
        <f t="shared" si="268"/>
        <v>0</v>
      </c>
      <c r="AG326" s="85">
        <f t="shared" si="268"/>
        <v>0</v>
      </c>
      <c r="AH326" s="85">
        <f t="shared" si="268"/>
        <v>0</v>
      </c>
      <c r="AI326" s="85">
        <f t="shared" si="268"/>
        <v>0</v>
      </c>
      <c r="AJ326" s="85">
        <f t="shared" si="268"/>
        <v>0</v>
      </c>
      <c r="AK326" s="85">
        <f t="shared" si="268"/>
        <v>0</v>
      </c>
      <c r="AL326" s="85">
        <f t="shared" si="268"/>
        <v>0</v>
      </c>
      <c r="AM326" s="85">
        <f t="shared" si="268"/>
        <v>0</v>
      </c>
      <c r="AN326" s="85">
        <f t="shared" si="268"/>
        <v>0</v>
      </c>
      <c r="AO326" s="85">
        <f t="shared" si="268"/>
        <v>0</v>
      </c>
      <c r="AP326" s="85"/>
      <c r="AQ326" s="85">
        <f t="shared" si="261"/>
        <v>2</v>
      </c>
      <c r="AR326" s="85">
        <f t="shared" si="262"/>
        <v>2</v>
      </c>
      <c r="AS326" s="85">
        <f t="shared" si="262"/>
        <v>2</v>
      </c>
      <c r="AT326" s="85">
        <f t="shared" si="265"/>
        <v>2</v>
      </c>
      <c r="AU326" s="85">
        <f t="shared" si="265"/>
        <v>2</v>
      </c>
      <c r="AV326" s="85">
        <f t="shared" si="265"/>
        <v>2</v>
      </c>
      <c r="AW326" s="85">
        <f t="shared" ref="AW326:AZ328" si="269">AV326</f>
        <v>2</v>
      </c>
      <c r="AX326" s="85">
        <f t="shared" si="269"/>
        <v>2</v>
      </c>
      <c r="AY326" s="85">
        <f t="shared" si="269"/>
        <v>2</v>
      </c>
      <c r="AZ326" s="85">
        <f t="shared" si="269"/>
        <v>2</v>
      </c>
      <c r="BA326" s="85">
        <v>1</v>
      </c>
      <c r="BB326" s="85">
        <v>0</v>
      </c>
      <c r="BC326">
        <v>0</v>
      </c>
      <c r="BD326" s="85">
        <v>0</v>
      </c>
      <c r="BE326" s="85">
        <v>0</v>
      </c>
      <c r="BF326" s="85">
        <v>0</v>
      </c>
      <c r="BG326" s="85">
        <v>0</v>
      </c>
      <c r="BH326" s="85">
        <v>0</v>
      </c>
      <c r="BI326" s="85">
        <v>0</v>
      </c>
      <c r="BJ326" s="85">
        <v>0</v>
      </c>
      <c r="BK326" s="85">
        <v>0</v>
      </c>
      <c r="BL326" s="85">
        <v>0</v>
      </c>
      <c r="BM326" s="85">
        <v>0</v>
      </c>
      <c r="BN326" s="85">
        <v>0</v>
      </c>
    </row>
    <row r="327" spans="4:66" x14ac:dyDescent="0.3">
      <c r="D327" s="85" t="s">
        <v>405</v>
      </c>
      <c r="E327" s="85">
        <v>2003</v>
      </c>
      <c r="F327" s="85">
        <v>300</v>
      </c>
      <c r="G327" s="85" t="s">
        <v>406</v>
      </c>
      <c r="H327" s="85">
        <f>(H311/$R311)*365</f>
        <v>3.3301786765354248E-6</v>
      </c>
      <c r="I327" s="85">
        <f>(I311/$R311)*365</f>
        <v>4.0295161986078535E-6</v>
      </c>
      <c r="J327" s="85">
        <f>(J311/$R311)*365</f>
        <v>4.7954572942109954E-6</v>
      </c>
      <c r="K327" s="85">
        <f>(K311/$R311)*365</f>
        <v>1.0572367485356926E-5</v>
      </c>
      <c r="L327" s="31">
        <f>(L311/$R311)*365</f>
        <v>1.2211143633232999E-4</v>
      </c>
      <c r="M327" s="85">
        <f>(M311/$R311)*365</f>
        <v>1.1250189239294319E-2</v>
      </c>
      <c r="N327" s="85">
        <f>(N311/$R311)*365</f>
        <v>2.3799916881446804E-6</v>
      </c>
      <c r="O327" s="31">
        <f>(O311/$R311)*365</f>
        <v>2.1895923530931108E-6</v>
      </c>
      <c r="P327" s="31">
        <f>(P311/$R311)*365</f>
        <v>1.0391367330557895E-7</v>
      </c>
      <c r="Q327" s="85">
        <f>(Q311/$R311)*365</f>
        <v>9.1822532200001576E-8</v>
      </c>
      <c r="R327" s="85">
        <f>'1_MODEL_assumptions'!I24</f>
        <v>1</v>
      </c>
      <c r="S327" s="85">
        <f t="shared" si="263"/>
        <v>1</v>
      </c>
      <c r="T327" s="85">
        <f t="shared" si="267"/>
        <v>1</v>
      </c>
      <c r="U327" s="85">
        <f t="shared" si="267"/>
        <v>1</v>
      </c>
      <c r="V327" s="85">
        <f>U327</f>
        <v>1</v>
      </c>
      <c r="W327" s="85">
        <v>0</v>
      </c>
      <c r="X327" s="85">
        <f>W327</f>
        <v>0</v>
      </c>
      <c r="Y327" s="85">
        <f>X327</f>
        <v>0</v>
      </c>
      <c r="Z327" s="85">
        <f>Y327</f>
        <v>0</v>
      </c>
      <c r="AA327" s="85">
        <f t="shared" ref="AA327:AO327" si="270">Z327</f>
        <v>0</v>
      </c>
      <c r="AB327" s="85">
        <f t="shared" si="270"/>
        <v>0</v>
      </c>
      <c r="AC327" s="85">
        <f t="shared" si="270"/>
        <v>0</v>
      </c>
      <c r="AD327" s="85">
        <f t="shared" si="270"/>
        <v>0</v>
      </c>
      <c r="AE327" s="85">
        <f t="shared" si="270"/>
        <v>0</v>
      </c>
      <c r="AF327" s="85">
        <f t="shared" si="270"/>
        <v>0</v>
      </c>
      <c r="AG327" s="85">
        <f t="shared" si="270"/>
        <v>0</v>
      </c>
      <c r="AH327" s="85">
        <f t="shared" si="270"/>
        <v>0</v>
      </c>
      <c r="AI327" s="85">
        <f t="shared" si="270"/>
        <v>0</v>
      </c>
      <c r="AJ327" s="85">
        <f t="shared" si="270"/>
        <v>0</v>
      </c>
      <c r="AK327" s="85">
        <f t="shared" si="270"/>
        <v>0</v>
      </c>
      <c r="AL327" s="85">
        <f t="shared" si="270"/>
        <v>0</v>
      </c>
      <c r="AM327" s="85">
        <f t="shared" si="270"/>
        <v>0</v>
      </c>
      <c r="AN327" s="85">
        <f t="shared" si="270"/>
        <v>0</v>
      </c>
      <c r="AO327" s="85">
        <f t="shared" si="270"/>
        <v>0</v>
      </c>
      <c r="AP327" s="85"/>
      <c r="AQ327" s="85">
        <f t="shared" si="261"/>
        <v>1</v>
      </c>
      <c r="AR327" s="85">
        <f t="shared" si="262"/>
        <v>1</v>
      </c>
      <c r="AS327" s="85">
        <f t="shared" si="262"/>
        <v>1</v>
      </c>
      <c r="AT327" s="85">
        <f t="shared" si="265"/>
        <v>1</v>
      </c>
      <c r="AU327" s="85">
        <f t="shared" si="265"/>
        <v>1</v>
      </c>
      <c r="AV327" s="85">
        <f t="shared" si="265"/>
        <v>1</v>
      </c>
      <c r="AW327" s="85">
        <f t="shared" si="269"/>
        <v>1</v>
      </c>
      <c r="AX327" s="85">
        <f t="shared" si="269"/>
        <v>1</v>
      </c>
      <c r="AY327" s="85">
        <f t="shared" si="269"/>
        <v>1</v>
      </c>
      <c r="AZ327" s="85">
        <f t="shared" si="269"/>
        <v>1</v>
      </c>
      <c r="BA327" s="85">
        <f>AZ327</f>
        <v>1</v>
      </c>
      <c r="BB327" s="85">
        <v>0</v>
      </c>
      <c r="BC327">
        <v>0</v>
      </c>
      <c r="BD327" s="85">
        <v>0</v>
      </c>
      <c r="BE327" s="85">
        <v>0</v>
      </c>
      <c r="BF327" s="85">
        <v>0</v>
      </c>
      <c r="BG327" s="85">
        <v>0</v>
      </c>
      <c r="BH327" s="85">
        <v>0</v>
      </c>
      <c r="BI327" s="85">
        <v>0</v>
      </c>
      <c r="BJ327" s="85">
        <v>0</v>
      </c>
      <c r="BK327" s="85">
        <v>0</v>
      </c>
      <c r="BL327" s="85">
        <v>0</v>
      </c>
      <c r="BM327" s="85">
        <v>0</v>
      </c>
      <c r="BN327" s="85">
        <v>0</v>
      </c>
    </row>
    <row r="328" spans="4:66" x14ac:dyDescent="0.3">
      <c r="D328" s="85" t="s">
        <v>405</v>
      </c>
      <c r="E328" s="85">
        <v>2004</v>
      </c>
      <c r="F328" s="85">
        <v>300</v>
      </c>
      <c r="G328" s="85" t="s">
        <v>406</v>
      </c>
      <c r="H328" s="85">
        <f>(H312/$R312)*365</f>
        <v>4.6340552753919153E-6</v>
      </c>
      <c r="I328" s="85">
        <f>(I312/$R312)*365</f>
        <v>5.607206883224224E-6</v>
      </c>
      <c r="J328" s="85">
        <f>(J312/$R312)*365</f>
        <v>6.6730395965643691E-6</v>
      </c>
      <c r="K328" s="85">
        <f>(K312/$R312)*365</f>
        <v>1.7046058905602271E-5</v>
      </c>
      <c r="L328" s="31">
        <f>(L312/$R312)*365</f>
        <v>1.0945290048718237E-4</v>
      </c>
      <c r="M328" s="85">
        <f>(M312/$R312)*365</f>
        <v>1.1250189239294309E-2</v>
      </c>
      <c r="N328" s="85">
        <f>(N312/$R312)*365</f>
        <v>2.5517690023158402E-6</v>
      </c>
      <c r="O328" s="31">
        <f>(O312/$R312)*365</f>
        <v>2.3476274821305749E-6</v>
      </c>
      <c r="P328" s="31">
        <f>(P312/$R312)*365</f>
        <v>1.0387455700761321E-7</v>
      </c>
      <c r="Q328" s="85">
        <f>(Q312/$R312)*365</f>
        <v>9.1822532200001629E-8</v>
      </c>
      <c r="R328" s="85">
        <f>'1_MODEL_assumptions'!I25</f>
        <v>2</v>
      </c>
      <c r="S328" s="85">
        <f t="shared" si="263"/>
        <v>2</v>
      </c>
      <c r="T328" s="85">
        <f t="shared" si="267"/>
        <v>2</v>
      </c>
      <c r="U328" s="85">
        <f t="shared" si="267"/>
        <v>2</v>
      </c>
      <c r="V328" s="85">
        <f>U328</f>
        <v>2</v>
      </c>
      <c r="W328" s="85">
        <v>1</v>
      </c>
      <c r="X328" s="85">
        <v>0</v>
      </c>
      <c r="Y328" s="85">
        <f t="shared" ref="Y328:Z332" si="271">X328</f>
        <v>0</v>
      </c>
      <c r="Z328" s="85">
        <f t="shared" si="271"/>
        <v>0</v>
      </c>
      <c r="AA328" s="85">
        <f t="shared" ref="AA328:AO328" si="272">Z328</f>
        <v>0</v>
      </c>
      <c r="AB328" s="85">
        <f t="shared" si="272"/>
        <v>0</v>
      </c>
      <c r="AC328" s="85">
        <f t="shared" si="272"/>
        <v>0</v>
      </c>
      <c r="AD328" s="85">
        <f t="shared" si="272"/>
        <v>0</v>
      </c>
      <c r="AE328" s="85">
        <f t="shared" si="272"/>
        <v>0</v>
      </c>
      <c r="AF328" s="85">
        <f t="shared" si="272"/>
        <v>0</v>
      </c>
      <c r="AG328" s="85">
        <f t="shared" si="272"/>
        <v>0</v>
      </c>
      <c r="AH328" s="85">
        <f t="shared" si="272"/>
        <v>0</v>
      </c>
      <c r="AI328" s="85">
        <f t="shared" si="272"/>
        <v>0</v>
      </c>
      <c r="AJ328" s="85">
        <f t="shared" si="272"/>
        <v>0</v>
      </c>
      <c r="AK328" s="85">
        <f t="shared" si="272"/>
        <v>0</v>
      </c>
      <c r="AL328" s="85">
        <f t="shared" si="272"/>
        <v>0</v>
      </c>
      <c r="AM328" s="85">
        <f t="shared" si="272"/>
        <v>0</v>
      </c>
      <c r="AN328" s="85">
        <f t="shared" si="272"/>
        <v>0</v>
      </c>
      <c r="AO328" s="85">
        <f t="shared" si="272"/>
        <v>0</v>
      </c>
      <c r="AP328" s="85"/>
      <c r="AQ328" s="85">
        <f t="shared" si="261"/>
        <v>2</v>
      </c>
      <c r="AR328" s="85">
        <f t="shared" si="262"/>
        <v>2</v>
      </c>
      <c r="AS328" s="85">
        <f t="shared" si="262"/>
        <v>2</v>
      </c>
      <c r="AT328" s="85">
        <f t="shared" si="265"/>
        <v>2</v>
      </c>
      <c r="AU328" s="85">
        <f t="shared" si="265"/>
        <v>2</v>
      </c>
      <c r="AV328" s="85">
        <f t="shared" si="265"/>
        <v>2</v>
      </c>
      <c r="AW328" s="85">
        <f t="shared" si="269"/>
        <v>2</v>
      </c>
      <c r="AX328" s="85">
        <f t="shared" si="269"/>
        <v>2</v>
      </c>
      <c r="AY328" s="85">
        <f t="shared" si="269"/>
        <v>2</v>
      </c>
      <c r="AZ328" s="85">
        <f t="shared" si="269"/>
        <v>2</v>
      </c>
      <c r="BA328" s="85">
        <f>AZ328</f>
        <v>2</v>
      </c>
      <c r="BB328" s="85">
        <f>BA328</f>
        <v>2</v>
      </c>
      <c r="BC328">
        <v>0</v>
      </c>
      <c r="BD328" s="85">
        <v>0</v>
      </c>
      <c r="BE328" s="85">
        <v>0</v>
      </c>
      <c r="BF328" s="85">
        <v>0</v>
      </c>
      <c r="BG328" s="85">
        <v>0</v>
      </c>
      <c r="BH328" s="85">
        <v>0</v>
      </c>
      <c r="BI328" s="85">
        <v>0</v>
      </c>
      <c r="BJ328" s="85">
        <v>0</v>
      </c>
      <c r="BK328" s="85">
        <v>0</v>
      </c>
      <c r="BL328" s="85">
        <v>0</v>
      </c>
      <c r="BM328" s="85">
        <v>0</v>
      </c>
      <c r="BN328" s="85">
        <v>0</v>
      </c>
    </row>
    <row r="329" spans="4:66" x14ac:dyDescent="0.3">
      <c r="D329" s="85" t="s">
        <v>405</v>
      </c>
      <c r="E329" s="85">
        <v>2026</v>
      </c>
      <c r="F329" s="85">
        <v>300</v>
      </c>
      <c r="G329" s="85" t="s">
        <v>406</v>
      </c>
      <c r="H329" s="85">
        <f>(H313/$R313)*365</f>
        <v>9.5880382320718133E-7</v>
      </c>
      <c r="I329" s="85">
        <f>(I313/$R313)*365</f>
        <v>1.1601526260806797E-6</v>
      </c>
      <c r="J329" s="85">
        <f>(J313/$R313)*365</f>
        <v>1.3806775054183411E-6</v>
      </c>
      <c r="K329" s="85">
        <f>(K313/$R313)*365</f>
        <v>1.9559597993426499E-5</v>
      </c>
      <c r="L329" s="31">
        <f>(L313/$R313)*365</f>
        <v>2.4449497491783123E-6</v>
      </c>
      <c r="M329" s="85">
        <f>(M313/$R313)*365</f>
        <v>1.1250191775869087E-2</v>
      </c>
      <c r="N329" s="85">
        <f>(N313/$R313)*365</f>
        <v>1.7833751111653574E-7</v>
      </c>
      <c r="O329" s="31">
        <f>(O313/$R313)*365</f>
        <v>1.6491425759163517E-7</v>
      </c>
      <c r="P329" s="31">
        <f>(P313/$R313)*365</f>
        <v>1.0642722437599711E-7</v>
      </c>
      <c r="Q329" s="85">
        <f>(Q313/$R313)*365</f>
        <v>2.512066016802815E-10</v>
      </c>
      <c r="R329">
        <v>0</v>
      </c>
      <c r="S329" s="85">
        <f t="shared" si="263"/>
        <v>0</v>
      </c>
      <c r="T329" s="85">
        <f>S329</f>
        <v>0</v>
      </c>
      <c r="U329" s="85">
        <v>2</v>
      </c>
      <c r="V329" s="85">
        <f>U329</f>
        <v>2</v>
      </c>
      <c r="W329" s="85">
        <f>V329</f>
        <v>2</v>
      </c>
      <c r="X329" s="85">
        <v>1</v>
      </c>
      <c r="Y329" s="85">
        <f t="shared" si="271"/>
        <v>1</v>
      </c>
      <c r="Z329" s="85">
        <f t="shared" si="271"/>
        <v>1</v>
      </c>
      <c r="AA329" s="85">
        <f t="shared" ref="AA329:AO329" si="273">Z329</f>
        <v>1</v>
      </c>
      <c r="AB329" s="85">
        <f t="shared" si="273"/>
        <v>1</v>
      </c>
      <c r="AC329" s="85">
        <f t="shared" si="273"/>
        <v>1</v>
      </c>
      <c r="AD329" s="85">
        <f t="shared" si="273"/>
        <v>1</v>
      </c>
      <c r="AE329" s="85">
        <f t="shared" si="273"/>
        <v>1</v>
      </c>
      <c r="AF329" s="85">
        <f t="shared" si="273"/>
        <v>1</v>
      </c>
      <c r="AG329" s="85">
        <f t="shared" si="273"/>
        <v>1</v>
      </c>
      <c r="AH329" s="85">
        <f t="shared" si="273"/>
        <v>1</v>
      </c>
      <c r="AI329" s="85">
        <f t="shared" si="273"/>
        <v>1</v>
      </c>
      <c r="AJ329" s="85">
        <f t="shared" si="273"/>
        <v>1</v>
      </c>
      <c r="AK329" s="85">
        <f t="shared" si="273"/>
        <v>1</v>
      </c>
      <c r="AL329" s="85">
        <f t="shared" si="273"/>
        <v>1</v>
      </c>
      <c r="AM329" s="85">
        <f t="shared" si="273"/>
        <v>1</v>
      </c>
      <c r="AN329" s="85">
        <f t="shared" si="273"/>
        <v>1</v>
      </c>
      <c r="AO329" s="85">
        <f t="shared" si="273"/>
        <v>1</v>
      </c>
      <c r="AP329" s="85"/>
      <c r="AQ329" s="85">
        <f t="shared" si="261"/>
        <v>0</v>
      </c>
      <c r="AR329" s="85">
        <f t="shared" si="262"/>
        <v>0</v>
      </c>
      <c r="AS329" s="85">
        <f t="shared" si="262"/>
        <v>0</v>
      </c>
      <c r="AT329" s="85">
        <v>2</v>
      </c>
      <c r="AU329" s="85">
        <v>2</v>
      </c>
      <c r="AV329" s="85">
        <v>2</v>
      </c>
      <c r="AW329" s="85">
        <v>2</v>
      </c>
      <c r="AX329" s="85">
        <v>2</v>
      </c>
      <c r="AY329" s="85">
        <v>2</v>
      </c>
      <c r="AZ329" s="85">
        <v>2</v>
      </c>
      <c r="BA329" s="85">
        <v>2</v>
      </c>
      <c r="BB329" s="85">
        <v>2</v>
      </c>
      <c r="BC329">
        <v>2</v>
      </c>
      <c r="BD329" s="85">
        <v>2</v>
      </c>
      <c r="BE329" s="85">
        <v>2</v>
      </c>
      <c r="BF329" s="85">
        <v>2</v>
      </c>
      <c r="BG329" s="85">
        <v>2</v>
      </c>
      <c r="BH329" s="85">
        <v>2</v>
      </c>
      <c r="BI329" s="85">
        <v>2</v>
      </c>
      <c r="BJ329" s="85">
        <v>2</v>
      </c>
      <c r="BK329" s="85">
        <v>2</v>
      </c>
      <c r="BL329" s="85">
        <v>2</v>
      </c>
      <c r="BM329" s="85">
        <v>2</v>
      </c>
      <c r="BN329" s="85">
        <v>2</v>
      </c>
    </row>
    <row r="330" spans="4:66" x14ac:dyDescent="0.3">
      <c r="D330" s="85" t="s">
        <v>405</v>
      </c>
      <c r="E330" s="85">
        <v>2027</v>
      </c>
      <c r="F330" s="85">
        <v>300</v>
      </c>
      <c r="G330" s="85" t="s">
        <v>406</v>
      </c>
      <c r="H330" s="85">
        <f>(H314/$R314)*365</f>
        <v>9.5893605927857355E-7</v>
      </c>
      <c r="I330" s="85">
        <f>(I314/$R314)*365</f>
        <v>1.1598456526721625E-6</v>
      </c>
      <c r="J330" s="85">
        <f>(J314/$R314)*365</f>
        <v>1.3805747059545752E-6</v>
      </c>
      <c r="K330" s="85">
        <f>(K314/$R314)*365</f>
        <v>1.9601744479445239E-5</v>
      </c>
      <c r="L330" s="31">
        <f>(L314/$R314)*365</f>
        <v>2.4447032273417262E-6</v>
      </c>
      <c r="M330" s="85">
        <f>(M314/$R314)*365</f>
        <v>1.1250189243624623E-2</v>
      </c>
      <c r="N330" s="85">
        <f>(N314/$R314)*365</f>
        <v>1.7878238817523854E-7</v>
      </c>
      <c r="O330" s="31">
        <f>(O314/$R314)*365</f>
        <v>1.6452866702231491E-7</v>
      </c>
      <c r="P330" s="31">
        <f>(P314/$R314)*365</f>
        <v>1.064277846084943E-7</v>
      </c>
      <c r="Q330" s="85">
        <f>(Q314/$R314)*365</f>
        <v>2.5165284069799303E-10</v>
      </c>
      <c r="R330">
        <v>0</v>
      </c>
      <c r="S330" s="85">
        <f t="shared" si="263"/>
        <v>0</v>
      </c>
      <c r="T330" s="85">
        <f>S330</f>
        <v>0</v>
      </c>
      <c r="U330" s="85">
        <f>T330</f>
        <v>0</v>
      </c>
      <c r="V330" s="85">
        <v>2</v>
      </c>
      <c r="W330" s="85">
        <f>V330</f>
        <v>2</v>
      </c>
      <c r="X330" s="85">
        <f>W330</f>
        <v>2</v>
      </c>
      <c r="Y330" s="85">
        <f t="shared" si="271"/>
        <v>2</v>
      </c>
      <c r="Z330" s="85">
        <f t="shared" si="271"/>
        <v>2</v>
      </c>
      <c r="AA330" s="85">
        <f t="shared" ref="AA330:AO330" si="274">Z330</f>
        <v>2</v>
      </c>
      <c r="AB330" s="85">
        <f t="shared" si="274"/>
        <v>2</v>
      </c>
      <c r="AC330" s="85">
        <f t="shared" si="274"/>
        <v>2</v>
      </c>
      <c r="AD330" s="85">
        <f t="shared" si="274"/>
        <v>2</v>
      </c>
      <c r="AE330" s="85">
        <f t="shared" si="274"/>
        <v>2</v>
      </c>
      <c r="AF330" s="85">
        <f t="shared" si="274"/>
        <v>2</v>
      </c>
      <c r="AG330" s="85">
        <f t="shared" si="274"/>
        <v>2</v>
      </c>
      <c r="AH330" s="85">
        <f t="shared" si="274"/>
        <v>2</v>
      </c>
      <c r="AI330" s="85">
        <f t="shared" si="274"/>
        <v>2</v>
      </c>
      <c r="AJ330" s="85">
        <f t="shared" si="274"/>
        <v>2</v>
      </c>
      <c r="AK330" s="85">
        <f t="shared" si="274"/>
        <v>2</v>
      </c>
      <c r="AL330" s="85">
        <f t="shared" si="274"/>
        <v>2</v>
      </c>
      <c r="AM330" s="85">
        <f t="shared" si="274"/>
        <v>2</v>
      </c>
      <c r="AN330" s="85">
        <f t="shared" si="274"/>
        <v>2</v>
      </c>
      <c r="AO330" s="85">
        <f t="shared" si="274"/>
        <v>2</v>
      </c>
      <c r="AP330" s="85"/>
      <c r="AQ330" s="85">
        <f t="shared" si="261"/>
        <v>0</v>
      </c>
      <c r="AR330" s="85">
        <f t="shared" si="262"/>
        <v>0</v>
      </c>
      <c r="AS330" s="85">
        <f t="shared" si="262"/>
        <v>0</v>
      </c>
      <c r="AT330" s="85">
        <f>AS330</f>
        <v>0</v>
      </c>
      <c r="AU330" s="85">
        <v>2</v>
      </c>
      <c r="AV330" s="85">
        <v>2</v>
      </c>
      <c r="AW330" s="85">
        <v>2</v>
      </c>
      <c r="AX330" s="85">
        <v>2</v>
      </c>
      <c r="AY330" s="85">
        <v>2</v>
      </c>
      <c r="AZ330" s="85">
        <v>2</v>
      </c>
      <c r="BA330" s="85">
        <v>2</v>
      </c>
      <c r="BB330" s="85">
        <v>2</v>
      </c>
      <c r="BC330">
        <v>2</v>
      </c>
      <c r="BD330" s="85">
        <v>2</v>
      </c>
      <c r="BE330" s="85">
        <v>2</v>
      </c>
      <c r="BF330" s="85">
        <v>2</v>
      </c>
      <c r="BG330" s="85">
        <v>2</v>
      </c>
      <c r="BH330" s="85">
        <v>2</v>
      </c>
      <c r="BI330" s="85">
        <v>2</v>
      </c>
      <c r="BJ330" s="85">
        <v>2</v>
      </c>
      <c r="BK330" s="85">
        <v>2</v>
      </c>
      <c r="BL330" s="85">
        <v>2</v>
      </c>
      <c r="BM330" s="85">
        <v>2</v>
      </c>
      <c r="BN330" s="85">
        <v>2</v>
      </c>
    </row>
    <row r="331" spans="4:66" x14ac:dyDescent="0.3">
      <c r="D331" s="85" t="s">
        <v>405</v>
      </c>
      <c r="E331" s="85">
        <v>2028</v>
      </c>
      <c r="F331" s="85">
        <v>300</v>
      </c>
      <c r="G331" s="85" t="s">
        <v>406</v>
      </c>
      <c r="H331" s="85">
        <f>(H315/$R315)*365</f>
        <v>3.6074446671011115E-6</v>
      </c>
      <c r="I331" s="85">
        <f>(I315/$R315)*365</f>
        <v>4.3650094186729675E-6</v>
      </c>
      <c r="J331" s="85">
        <f>(J315/$R315)*365</f>
        <v>5.1947199287739745E-6</v>
      </c>
      <c r="K331" s="85">
        <f>(K315/$R315)*365</f>
        <v>2.571404693602001E-5</v>
      </c>
      <c r="L331" s="31">
        <f>(L315/$R315)*365</f>
        <v>2.8246583868774345E-6</v>
      </c>
      <c r="M331" s="85">
        <f>(M315/$R315)*365</f>
        <v>1.1250189237084195E-2</v>
      </c>
      <c r="N331" s="85">
        <f>(N315/$R315)*365</f>
        <v>2.5705465385838042E-7</v>
      </c>
      <c r="O331" s="31">
        <f>(O315/$R315)*365</f>
        <v>2.3628651871433253E-7</v>
      </c>
      <c r="P331" s="31">
        <f>(P315/$R315)*365</f>
        <v>1.0640730374274879E-7</v>
      </c>
      <c r="Q331" s="85">
        <f>(Q315/$R315)*365</f>
        <v>2.519605829739918E-10</v>
      </c>
      <c r="R331">
        <v>0</v>
      </c>
      <c r="S331" s="85">
        <f t="shared" si="263"/>
        <v>0</v>
      </c>
      <c r="T331" s="85">
        <f>S331</f>
        <v>0</v>
      </c>
      <c r="U331" s="85">
        <f>T331</f>
        <v>0</v>
      </c>
      <c r="V331" s="85">
        <f>U331</f>
        <v>0</v>
      </c>
      <c r="W331" s="85">
        <v>2</v>
      </c>
      <c r="X331" s="85">
        <f>W331</f>
        <v>2</v>
      </c>
      <c r="Y331" s="85">
        <f t="shared" si="271"/>
        <v>2</v>
      </c>
      <c r="Z331" s="85">
        <f t="shared" si="271"/>
        <v>2</v>
      </c>
      <c r="AA331" s="85">
        <f t="shared" ref="AA331:AO331" si="275">Z331</f>
        <v>2</v>
      </c>
      <c r="AB331" s="85">
        <f t="shared" si="275"/>
        <v>2</v>
      </c>
      <c r="AC331" s="85">
        <f t="shared" si="275"/>
        <v>2</v>
      </c>
      <c r="AD331" s="85">
        <f t="shared" si="275"/>
        <v>2</v>
      </c>
      <c r="AE331" s="85">
        <f t="shared" si="275"/>
        <v>2</v>
      </c>
      <c r="AF331" s="85">
        <f t="shared" si="275"/>
        <v>2</v>
      </c>
      <c r="AG331" s="85">
        <f t="shared" si="275"/>
        <v>2</v>
      </c>
      <c r="AH331" s="85">
        <f t="shared" si="275"/>
        <v>2</v>
      </c>
      <c r="AI331" s="85">
        <f t="shared" si="275"/>
        <v>2</v>
      </c>
      <c r="AJ331" s="85">
        <f t="shared" si="275"/>
        <v>2</v>
      </c>
      <c r="AK331" s="85">
        <f t="shared" si="275"/>
        <v>2</v>
      </c>
      <c r="AL331" s="85">
        <f t="shared" si="275"/>
        <v>2</v>
      </c>
      <c r="AM331" s="85">
        <f t="shared" si="275"/>
        <v>2</v>
      </c>
      <c r="AN331" s="85">
        <f t="shared" si="275"/>
        <v>2</v>
      </c>
      <c r="AO331" s="85">
        <f t="shared" si="275"/>
        <v>2</v>
      </c>
      <c r="AP331" s="85"/>
      <c r="AQ331" s="85">
        <f t="shared" si="261"/>
        <v>0</v>
      </c>
      <c r="AR331" s="85">
        <f t="shared" si="262"/>
        <v>0</v>
      </c>
      <c r="AS331" s="85">
        <f t="shared" si="262"/>
        <v>0</v>
      </c>
      <c r="AT331" s="85">
        <f>AS331</f>
        <v>0</v>
      </c>
      <c r="AU331" s="85">
        <f>AT331</f>
        <v>0</v>
      </c>
      <c r="AV331" s="85">
        <v>2</v>
      </c>
      <c r="AW331" s="85">
        <v>2</v>
      </c>
      <c r="AX331" s="85">
        <v>2</v>
      </c>
      <c r="AY331" s="85">
        <v>2</v>
      </c>
      <c r="AZ331" s="85">
        <v>2</v>
      </c>
      <c r="BA331" s="85">
        <v>2</v>
      </c>
      <c r="BB331" s="85">
        <v>2</v>
      </c>
      <c r="BC331">
        <v>2</v>
      </c>
      <c r="BD331" s="85">
        <v>2</v>
      </c>
      <c r="BE331" s="85">
        <v>2</v>
      </c>
      <c r="BF331" s="85">
        <v>2</v>
      </c>
      <c r="BG331" s="85">
        <v>2</v>
      </c>
      <c r="BH331" s="85">
        <v>2</v>
      </c>
      <c r="BI331" s="85">
        <v>2</v>
      </c>
      <c r="BJ331" s="85">
        <v>2</v>
      </c>
      <c r="BK331" s="85">
        <v>2</v>
      </c>
      <c r="BL331" s="85">
        <v>2</v>
      </c>
      <c r="BM331" s="85">
        <v>2</v>
      </c>
      <c r="BN331" s="85">
        <v>2</v>
      </c>
    </row>
    <row r="332" spans="4:66" x14ac:dyDescent="0.3">
      <c r="D332" s="85" t="s">
        <v>405</v>
      </c>
      <c r="E332" s="85">
        <v>2029</v>
      </c>
      <c r="F332" s="85">
        <v>300</v>
      </c>
      <c r="G332" s="85" t="s">
        <v>406</v>
      </c>
      <c r="H332" s="85">
        <f>(H316/$R316)*365</f>
        <v>3.6118281028703013E-6</v>
      </c>
      <c r="I332" s="85">
        <f>(I316/$R316)*365</f>
        <v>4.3703120535322186E-6</v>
      </c>
      <c r="J332" s="85">
        <f>(J316/$R316)*365</f>
        <v>5.2010321036938072E-6</v>
      </c>
      <c r="K332" s="85">
        <f>(K316/$R316)*365</f>
        <v>2.572415949828862E-5</v>
      </c>
      <c r="L332" s="31">
        <f>(L316/$R316)*365</f>
        <v>2.8252879230905921E-6</v>
      </c>
      <c r="M332" s="85">
        <f>(M316/$R316)*365</f>
        <v>1.1250189239804784E-2</v>
      </c>
      <c r="N332" s="85">
        <f>(N316/$R316)*365</f>
        <v>2.5706996503812563E-7</v>
      </c>
      <c r="O332" s="31">
        <f>(O316/$R316)*365</f>
        <v>2.3646512051216824E-7</v>
      </c>
      <c r="P332" s="31">
        <f>(P316/$R316)*365</f>
        <v>1.0631118592320957E-7</v>
      </c>
      <c r="Q332" s="85">
        <f>(Q316/$R316)*365</f>
        <v>2.5153328912808968E-10</v>
      </c>
      <c r="R332">
        <v>0</v>
      </c>
      <c r="S332" s="85">
        <v>0</v>
      </c>
      <c r="T332" s="85">
        <v>0</v>
      </c>
      <c r="U332" s="85">
        <f>T332</f>
        <v>0</v>
      </c>
      <c r="V332" s="85">
        <f>U332</f>
        <v>0</v>
      </c>
      <c r="W332" s="85">
        <f>V332</f>
        <v>0</v>
      </c>
      <c r="X332" s="85">
        <v>2</v>
      </c>
      <c r="Y332" s="85">
        <f t="shared" si="271"/>
        <v>2</v>
      </c>
      <c r="Z332" s="85">
        <f t="shared" si="271"/>
        <v>2</v>
      </c>
      <c r="AA332" s="85">
        <f t="shared" ref="AA332:AO332" si="276">Z332</f>
        <v>2</v>
      </c>
      <c r="AB332" s="85">
        <f t="shared" si="276"/>
        <v>2</v>
      </c>
      <c r="AC332" s="85">
        <f t="shared" si="276"/>
        <v>2</v>
      </c>
      <c r="AD332" s="85">
        <f t="shared" si="276"/>
        <v>2</v>
      </c>
      <c r="AE332" s="85">
        <f t="shared" si="276"/>
        <v>2</v>
      </c>
      <c r="AF332" s="85">
        <f t="shared" si="276"/>
        <v>2</v>
      </c>
      <c r="AG332" s="85">
        <f t="shared" si="276"/>
        <v>2</v>
      </c>
      <c r="AH332" s="85">
        <f t="shared" si="276"/>
        <v>2</v>
      </c>
      <c r="AI332" s="85">
        <f t="shared" si="276"/>
        <v>2</v>
      </c>
      <c r="AJ332" s="85">
        <f t="shared" si="276"/>
        <v>2</v>
      </c>
      <c r="AK332" s="85">
        <f t="shared" si="276"/>
        <v>2</v>
      </c>
      <c r="AL332" s="85">
        <f t="shared" si="276"/>
        <v>2</v>
      </c>
      <c r="AM332" s="85">
        <f t="shared" si="276"/>
        <v>2</v>
      </c>
      <c r="AN332" s="85">
        <f t="shared" si="276"/>
        <v>2</v>
      </c>
      <c r="AO332" s="85">
        <f t="shared" si="276"/>
        <v>2</v>
      </c>
      <c r="AP332" s="85"/>
      <c r="AQ332" s="85">
        <f t="shared" si="261"/>
        <v>0</v>
      </c>
      <c r="AR332" s="85">
        <f t="shared" si="262"/>
        <v>0</v>
      </c>
      <c r="AS332" s="85">
        <f t="shared" si="262"/>
        <v>0</v>
      </c>
      <c r="AT332" s="85">
        <f>AS332</f>
        <v>0</v>
      </c>
      <c r="AU332" s="85">
        <f>AT332</f>
        <v>0</v>
      </c>
      <c r="AV332" s="85">
        <f>AU332</f>
        <v>0</v>
      </c>
      <c r="AW332" s="85">
        <v>2</v>
      </c>
      <c r="AX332" s="85">
        <v>6</v>
      </c>
      <c r="AY332" s="85">
        <v>8</v>
      </c>
      <c r="AZ332" s="85">
        <v>10</v>
      </c>
      <c r="BA332" s="85">
        <v>12</v>
      </c>
      <c r="BB332" s="85">
        <v>14</v>
      </c>
      <c r="BC332">
        <v>16</v>
      </c>
      <c r="BD332" s="85">
        <v>16</v>
      </c>
      <c r="BE332" s="85">
        <v>16</v>
      </c>
      <c r="BF332" s="85">
        <v>16</v>
      </c>
      <c r="BG332" s="85">
        <v>16</v>
      </c>
      <c r="BH332" s="85">
        <v>16</v>
      </c>
      <c r="BI332" s="85">
        <v>16</v>
      </c>
      <c r="BJ332" s="85">
        <v>16</v>
      </c>
      <c r="BK332" s="85">
        <v>16</v>
      </c>
      <c r="BL332" s="85">
        <v>16</v>
      </c>
      <c r="BM332" s="85">
        <v>16</v>
      </c>
      <c r="BN332" s="85">
        <v>16</v>
      </c>
    </row>
    <row r="333" spans="4:66" s="85" customFormat="1" x14ac:dyDescent="0.3">
      <c r="D333" s="85" t="s">
        <v>427</v>
      </c>
      <c r="E333" s="85">
        <v>2003</v>
      </c>
      <c r="F333" s="85">
        <v>300</v>
      </c>
      <c r="G333" s="85" t="s">
        <v>406</v>
      </c>
      <c r="H333" s="85">
        <f t="shared" ref="H333:Q334" si="277">(H317/$R317)*365</f>
        <v>3.7801319482382063E-6</v>
      </c>
      <c r="I333" s="85">
        <f t="shared" si="277"/>
        <v>4.573959657368219E-6</v>
      </c>
      <c r="J333" s="85">
        <f t="shared" si="277"/>
        <v>5.4433900054630216E-6</v>
      </c>
      <c r="K333" s="85">
        <f t="shared" si="277"/>
        <v>2.0999281151565838E-5</v>
      </c>
      <c r="L333" s="31">
        <f t="shared" si="277"/>
        <v>1.0592576284326052E-4</v>
      </c>
      <c r="M333" s="85">
        <f t="shared" si="277"/>
        <v>1.1250189239294321E-2</v>
      </c>
      <c r="N333" s="85">
        <f t="shared" si="277"/>
        <v>2.3449209209948015E-6</v>
      </c>
      <c r="O333" s="31">
        <f t="shared" si="277"/>
        <v>2.1573272473152186E-6</v>
      </c>
      <c r="P333" s="31">
        <f t="shared" si="277"/>
        <v>9.0046818079770691E-7</v>
      </c>
      <c r="Q333" s="85">
        <f t="shared" si="277"/>
        <v>9.1822532200001761E-8</v>
      </c>
    </row>
    <row r="334" spans="4:66" s="85" customFormat="1" x14ac:dyDescent="0.3">
      <c r="D334" s="85" t="s">
        <v>427</v>
      </c>
      <c r="E334" s="85">
        <v>2002</v>
      </c>
      <c r="F334" s="85">
        <v>75</v>
      </c>
      <c r="G334" s="85" t="s">
        <v>406</v>
      </c>
      <c r="H334" s="85">
        <f t="shared" si="277"/>
        <v>4.1885949606857371E-5</v>
      </c>
      <c r="I334" s="85">
        <f t="shared" si="277"/>
        <v>5.0681999024297382E-5</v>
      </c>
      <c r="J334" s="85">
        <f t="shared" si="277"/>
        <v>6.0315767433874662E-5</v>
      </c>
      <c r="K334" s="85">
        <f t="shared" si="277"/>
        <v>1.4756034726822378E-4</v>
      </c>
      <c r="L334" s="31">
        <f t="shared" si="277"/>
        <v>1.1687324331233999E-4</v>
      </c>
      <c r="M334" s="85">
        <f t="shared" si="277"/>
        <v>1.1250189239294285E-2</v>
      </c>
      <c r="N334" s="85">
        <f t="shared" si="277"/>
        <v>1.5309218333798251E-5</v>
      </c>
      <c r="O334" s="31">
        <f t="shared" si="277"/>
        <v>1.4084480867094352E-5</v>
      </c>
      <c r="P334" s="31">
        <f t="shared" si="277"/>
        <v>1.0275700017766926E-7</v>
      </c>
      <c r="Q334" s="85">
        <f t="shared" si="277"/>
        <v>9.1822532200001152E-8</v>
      </c>
    </row>
    <row r="335" spans="4:66" s="85" customFormat="1" x14ac:dyDescent="0.3"/>
    <row r="336" spans="4:66" s="85" customFormat="1" x14ac:dyDescent="0.3"/>
    <row r="337" spans="4:30" s="85" customFormat="1" x14ac:dyDescent="0.3"/>
    <row r="338" spans="4:30" x14ac:dyDescent="0.3">
      <c r="D338" s="31" t="s">
        <v>428</v>
      </c>
      <c r="G338">
        <v>365</v>
      </c>
      <c r="H338" s="85"/>
      <c r="I338" s="31">
        <v>2023</v>
      </c>
      <c r="J338" s="31">
        <f>I338+1</f>
        <v>2024</v>
      </c>
      <c r="K338" s="31">
        <f t="shared" ref="K338:AD338" si="278">J338+1</f>
        <v>2025</v>
      </c>
      <c r="L338" s="31">
        <f t="shared" si="278"/>
        <v>2026</v>
      </c>
      <c r="M338" s="31">
        <f t="shared" si="278"/>
        <v>2027</v>
      </c>
      <c r="N338" s="31">
        <f t="shared" si="278"/>
        <v>2028</v>
      </c>
      <c r="O338" s="31">
        <f t="shared" si="278"/>
        <v>2029</v>
      </c>
      <c r="P338" s="31">
        <f t="shared" si="278"/>
        <v>2030</v>
      </c>
      <c r="Q338" s="31">
        <f t="shared" si="278"/>
        <v>2031</v>
      </c>
      <c r="R338" s="31">
        <f t="shared" si="278"/>
        <v>2032</v>
      </c>
      <c r="S338" s="31">
        <f t="shared" si="278"/>
        <v>2033</v>
      </c>
      <c r="T338" s="31">
        <f t="shared" si="278"/>
        <v>2034</v>
      </c>
      <c r="U338" s="31">
        <f t="shared" si="278"/>
        <v>2035</v>
      </c>
      <c r="V338" s="31">
        <f t="shared" si="278"/>
        <v>2036</v>
      </c>
      <c r="W338" s="31">
        <f t="shared" si="278"/>
        <v>2037</v>
      </c>
      <c r="X338" s="31">
        <f t="shared" si="278"/>
        <v>2038</v>
      </c>
      <c r="Y338" s="31">
        <f t="shared" si="278"/>
        <v>2039</v>
      </c>
      <c r="Z338" s="31">
        <f t="shared" si="278"/>
        <v>2040</v>
      </c>
      <c r="AA338" s="31">
        <f t="shared" si="278"/>
        <v>2041</v>
      </c>
      <c r="AB338" s="31">
        <f t="shared" si="278"/>
        <v>2042</v>
      </c>
      <c r="AC338" s="31">
        <f t="shared" si="278"/>
        <v>2043</v>
      </c>
      <c r="AD338" s="31">
        <f t="shared" si="278"/>
        <v>2044</v>
      </c>
    </row>
    <row r="339" spans="4:30" x14ac:dyDescent="0.3">
      <c r="D339" t="s">
        <v>416</v>
      </c>
      <c r="E339" t="s">
        <v>422</v>
      </c>
      <c r="H339" s="85"/>
      <c r="I339" s="85">
        <f>SUMPRODUCT($L$323:$L$332,R$323:R$332)/SUM(R$323:R$332)</f>
        <v>1.5380334075618384E-4</v>
      </c>
      <c r="J339" s="85">
        <f>SUMPRODUCT($L$323:$L$332,S$323:S$332)/SUM(S$323:S$332)</f>
        <v>1.5127626533625581E-4</v>
      </c>
      <c r="K339" s="85">
        <f>SUMPRODUCT($L$323:$L$332,T$323:T$332)/SUM(T$323:T$332)</f>
        <v>1.40936500767223E-4</v>
      </c>
      <c r="L339" s="85">
        <f>SUMPRODUCT($L$323:$L$332,U$323:U$332)/SUM(U$323:U$332)</f>
        <v>9.5525181548140702E-5</v>
      </c>
      <c r="M339" s="85">
        <f>SUMPRODUCT($L$323:$L$332,V$323:V$332)/SUM(V$323:V$332)</f>
        <v>5.0113791894247827E-5</v>
      </c>
      <c r="N339" s="85">
        <f>SUMPRODUCT($L$323:$L$332,W$323:W$332)/SUM(W$323:W$332)</f>
        <v>1.784021760199676E-5</v>
      </c>
      <c r="O339" s="85">
        <f>SUMPRODUCT($L$323:$L$332,X$323:X$332)/SUM(X$323:X$332)</f>
        <v>2.6620355462568315E-6</v>
      </c>
      <c r="P339" s="85">
        <f>SUMPRODUCT($L$323:$L$332,Y$323:Y$332)/SUM(Y$323:Y$332)</f>
        <v>2.6620355462568315E-6</v>
      </c>
      <c r="Q339" s="85">
        <f>SUMPRODUCT($L$323:$L$332,Z$323:Z$332)/SUM(Z$323:Z$332)</f>
        <v>2.6620355462568315E-6</v>
      </c>
      <c r="R339" s="85">
        <f>SUMPRODUCT($L$323:$L$332,AA$323:AA$332)/SUM(AA$323:AA$332)</f>
        <v>2.6620355462568315E-6</v>
      </c>
      <c r="S339" s="85">
        <f>SUMPRODUCT($L$323:$L$332,AB$323:AB$332)/SUM(AB$323:AB$332)</f>
        <v>2.6620355462568315E-6</v>
      </c>
      <c r="T339" s="85">
        <f>SUMPRODUCT($L$323:$L$332,AC$323:AC$332)/SUM(AC$323:AC$332)</f>
        <v>2.6620355462568315E-6</v>
      </c>
      <c r="U339" s="85">
        <f>SUMPRODUCT($L$323:$L$332,AD$323:AD$332)/SUM(AD$323:AD$332)</f>
        <v>2.6620355462568315E-6</v>
      </c>
      <c r="V339" s="85">
        <f>SUMPRODUCT($L$323:$L$332,AE$323:AE$332)/SUM(AE$323:AE$332)</f>
        <v>2.6620355462568315E-6</v>
      </c>
      <c r="W339" s="85">
        <f>SUMPRODUCT($L$323:$L$332,AF$323:AF$332)/SUM(AF$323:AF$332)</f>
        <v>2.6620355462568315E-6</v>
      </c>
      <c r="X339" s="85">
        <f>SUMPRODUCT($L$323:$L$332,AG$323:AG$332)/SUM(AG$323:AG$332)</f>
        <v>2.6620355462568315E-6</v>
      </c>
      <c r="Y339" s="85">
        <f t="shared" ref="Y339:AD339" si="279">X339</f>
        <v>2.6620355462568315E-6</v>
      </c>
      <c r="Z339" s="85">
        <f t="shared" si="279"/>
        <v>2.6620355462568315E-6</v>
      </c>
      <c r="AA339" s="85">
        <f t="shared" si="279"/>
        <v>2.6620355462568315E-6</v>
      </c>
      <c r="AB339" s="85">
        <f t="shared" si="279"/>
        <v>2.6620355462568315E-6</v>
      </c>
      <c r="AC339" s="85">
        <f t="shared" si="279"/>
        <v>2.6620355462568315E-6</v>
      </c>
      <c r="AD339" s="85">
        <f t="shared" si="279"/>
        <v>2.6620355462568315E-6</v>
      </c>
    </row>
    <row r="340" spans="4:30" x14ac:dyDescent="0.3">
      <c r="D340" s="85" t="s">
        <v>418</v>
      </c>
      <c r="I340" s="85">
        <f t="shared" ref="I340:X340" si="280">SUMPRODUCT($O$323:$O$332,R$323:R$332)/SUM(R$323:R$332)</f>
        <v>2.8461153958944115E-6</v>
      </c>
      <c r="J340" s="85">
        <f t="shared" si="280"/>
        <v>2.8377568905027766E-6</v>
      </c>
      <c r="K340" s="85">
        <f t="shared" si="280"/>
        <v>2.7295291456335663E-6</v>
      </c>
      <c r="L340" s="85">
        <f t="shared" si="280"/>
        <v>1.9200524572284336E-6</v>
      </c>
      <c r="M340" s="85">
        <f t="shared" si="280"/>
        <v>1.0776761666545943E-6</v>
      </c>
      <c r="N340" s="85">
        <f t="shared" si="280"/>
        <v>4.9701233839816291E-7</v>
      </c>
      <c r="O340" s="85">
        <f t="shared" si="280"/>
        <v>2.0563926715560953E-7</v>
      </c>
      <c r="P340" s="85">
        <f t="shared" si="280"/>
        <v>2.0563926715560953E-7</v>
      </c>
      <c r="Q340" s="85">
        <f t="shared" si="280"/>
        <v>2.0563926715560953E-7</v>
      </c>
      <c r="R340" s="85">
        <f t="shared" si="280"/>
        <v>2.0563926715560953E-7</v>
      </c>
      <c r="S340" s="85">
        <f t="shared" si="280"/>
        <v>2.0563926715560953E-7</v>
      </c>
      <c r="T340" s="85">
        <f t="shared" si="280"/>
        <v>2.0563926715560953E-7</v>
      </c>
      <c r="U340" s="85">
        <f t="shared" si="280"/>
        <v>2.0563926715560953E-7</v>
      </c>
      <c r="V340" s="85">
        <f t="shared" si="280"/>
        <v>2.0563926715560953E-7</v>
      </c>
      <c r="W340" s="85">
        <f t="shared" si="280"/>
        <v>2.0563926715560953E-7</v>
      </c>
      <c r="X340" s="85">
        <f t="shared" si="280"/>
        <v>2.0563926715560953E-7</v>
      </c>
      <c r="Y340" s="85">
        <f t="shared" ref="Y340:AD340" si="281">X340</f>
        <v>2.0563926715560953E-7</v>
      </c>
      <c r="Z340" s="85">
        <f t="shared" si="281"/>
        <v>2.0563926715560953E-7</v>
      </c>
      <c r="AA340" s="85">
        <f t="shared" si="281"/>
        <v>2.0563926715560953E-7</v>
      </c>
      <c r="AB340" s="85">
        <f t="shared" si="281"/>
        <v>2.0563926715560953E-7</v>
      </c>
      <c r="AC340" s="85">
        <f t="shared" si="281"/>
        <v>2.0563926715560953E-7</v>
      </c>
      <c r="AD340" s="85">
        <f t="shared" si="281"/>
        <v>2.0563926715560953E-7</v>
      </c>
    </row>
    <row r="341" spans="4:30" x14ac:dyDescent="0.3">
      <c r="D341" s="85" t="s">
        <v>419</v>
      </c>
      <c r="I341" s="85">
        <f t="shared" ref="I341:X341" si="282">SUMPRODUCT($P$323:$P$332,R$323:R$332)/SUM(R$323:R$332)</f>
        <v>4.2258141482574215E-7</v>
      </c>
      <c r="J341" s="85">
        <f t="shared" si="282"/>
        <v>2.6322729854723183E-7</v>
      </c>
      <c r="K341" s="85">
        <f t="shared" si="282"/>
        <v>1.0387928915530926E-7</v>
      </c>
      <c r="L341" s="85">
        <f t="shared" si="282"/>
        <v>1.0460676878554272E-7</v>
      </c>
      <c r="M341" s="85">
        <f t="shared" si="282"/>
        <v>1.0533897218425547E-7</v>
      </c>
      <c r="N341" s="85">
        <f t="shared" si="282"/>
        <v>1.0605702606601338E-7</v>
      </c>
      <c r="O341" s="85">
        <f t="shared" si="282"/>
        <v>1.0638853898927177E-7</v>
      </c>
      <c r="P341" s="85">
        <f t="shared" si="282"/>
        <v>1.0638853898927177E-7</v>
      </c>
      <c r="Q341" s="85">
        <f t="shared" si="282"/>
        <v>1.0638853898927177E-7</v>
      </c>
      <c r="R341" s="85">
        <f t="shared" si="282"/>
        <v>1.0638853898927177E-7</v>
      </c>
      <c r="S341" s="85">
        <f t="shared" si="282"/>
        <v>1.0638853898927177E-7</v>
      </c>
      <c r="T341" s="85">
        <f t="shared" si="282"/>
        <v>1.0638853898927177E-7</v>
      </c>
      <c r="U341" s="85">
        <f t="shared" si="282"/>
        <v>1.0638853898927177E-7</v>
      </c>
      <c r="V341" s="85">
        <f t="shared" si="282"/>
        <v>1.0638853898927177E-7</v>
      </c>
      <c r="W341" s="85">
        <f t="shared" si="282"/>
        <v>1.0638853898927177E-7</v>
      </c>
      <c r="X341" s="85">
        <f t="shared" si="282"/>
        <v>1.0638853898927177E-7</v>
      </c>
      <c r="Y341" s="85">
        <f t="shared" ref="Y341:AD341" si="283">X341</f>
        <v>1.0638853898927177E-7</v>
      </c>
      <c r="Z341" s="85">
        <f t="shared" si="283"/>
        <v>1.0638853898927177E-7</v>
      </c>
      <c r="AA341" s="85">
        <f t="shared" si="283"/>
        <v>1.0638853898927177E-7</v>
      </c>
      <c r="AB341" s="85">
        <f t="shared" si="283"/>
        <v>1.0638853898927177E-7</v>
      </c>
      <c r="AC341" s="85">
        <f t="shared" si="283"/>
        <v>1.0638853898927177E-7</v>
      </c>
      <c r="AD341" s="85">
        <f t="shared" si="283"/>
        <v>1.0638853898927177E-7</v>
      </c>
    </row>
    <row r="342" spans="4:30" x14ac:dyDescent="0.3">
      <c r="D342" t="s">
        <v>417</v>
      </c>
      <c r="I342" s="85">
        <f t="shared" ref="I342:AD342" si="284">SUMPRODUCT($L$323:$L$332,AQ$323:AQ$332)/SUM(AQ$323:AQ$332)</f>
        <v>1.5380334075618384E-4</v>
      </c>
      <c r="J342" s="85">
        <f t="shared" si="284"/>
        <v>1.5380334075618384E-4</v>
      </c>
      <c r="K342" s="85">
        <f t="shared" si="284"/>
        <v>1.5380334075618384E-4</v>
      </c>
      <c r="L342" s="85">
        <f t="shared" si="284"/>
        <v>1.3790937902950486E-4</v>
      </c>
      <c r="M342" s="85">
        <f t="shared" si="284"/>
        <v>1.2201539265064224E-4</v>
      </c>
      <c r="N342" s="85">
        <f t="shared" si="284"/>
        <v>1.061594017877332E-4</v>
      </c>
      <c r="O342" s="85">
        <f t="shared" si="284"/>
        <v>9.0727876951168421E-5</v>
      </c>
      <c r="P342" s="85">
        <f t="shared" si="284"/>
        <v>6.8322252576536279E-5</v>
      </c>
      <c r="Q342" s="85">
        <f t="shared" si="284"/>
        <v>5.3907772659002125E-5</v>
      </c>
      <c r="R342" s="85">
        <f t="shared" si="284"/>
        <v>3.9493292741467978E-5</v>
      </c>
      <c r="S342" s="85">
        <f t="shared" si="284"/>
        <v>2.50788128239338E-5</v>
      </c>
      <c r="T342" s="85">
        <f t="shared" si="284"/>
        <v>1.2449475210201272E-5</v>
      </c>
      <c r="U342" s="85">
        <f t="shared" si="284"/>
        <v>2.7560558861929279E-6</v>
      </c>
      <c r="V342" s="85">
        <f t="shared" si="284"/>
        <v>2.7560558861929279E-6</v>
      </c>
      <c r="W342" s="85">
        <f t="shared" si="284"/>
        <v>2.7560558861929279E-6</v>
      </c>
      <c r="X342" s="85">
        <f t="shared" si="284"/>
        <v>2.7560558861929279E-6</v>
      </c>
      <c r="Y342" s="85">
        <f t="shared" si="284"/>
        <v>2.7560558861929279E-6</v>
      </c>
      <c r="Z342" s="85">
        <f t="shared" si="284"/>
        <v>2.7560558861929279E-6</v>
      </c>
      <c r="AA342" s="85">
        <f t="shared" si="284"/>
        <v>2.7560558861929279E-6</v>
      </c>
      <c r="AB342" s="85">
        <f t="shared" si="284"/>
        <v>2.7560558861929279E-6</v>
      </c>
      <c r="AC342" s="85">
        <f t="shared" si="284"/>
        <v>2.7560558861929279E-6</v>
      </c>
      <c r="AD342" s="85">
        <f t="shared" si="284"/>
        <v>2.7560558861929279E-6</v>
      </c>
    </row>
    <row r="343" spans="4:30" x14ac:dyDescent="0.3">
      <c r="D343" s="85" t="s">
        <v>420</v>
      </c>
      <c r="I343" s="85">
        <f t="shared" ref="I343:AD343" si="285">SUMPRODUCT($O$323:$O$332,AQ$323:AQ$332)/SUM(AQ$323:AQ$332)</f>
        <v>2.8461153958944115E-6</v>
      </c>
      <c r="J343" s="85">
        <f t="shared" si="285"/>
        <v>2.8461153958944115E-6</v>
      </c>
      <c r="K343" s="85">
        <f t="shared" si="285"/>
        <v>2.8461153958944115E-6</v>
      </c>
      <c r="L343" s="85">
        <f t="shared" si="285"/>
        <v>2.5754877304466433E-6</v>
      </c>
      <c r="M343" s="85">
        <f t="shared" si="285"/>
        <v>2.3048215059419433E-6</v>
      </c>
      <c r="N343" s="85">
        <f t="shared" si="285"/>
        <v>2.0413310666064452E-6</v>
      </c>
      <c r="O343" s="85">
        <f t="shared" si="285"/>
        <v>1.7850753241081936E-6</v>
      </c>
      <c r="P343" s="85">
        <f t="shared" si="285"/>
        <v>1.3932364377360608E-6</v>
      </c>
      <c r="Q343" s="85">
        <f t="shared" si="285"/>
        <v>1.142180297145385E-6</v>
      </c>
      <c r="R343" s="85">
        <f t="shared" si="285"/>
        <v>8.9112415655470969E-7</v>
      </c>
      <c r="S343" s="85">
        <f t="shared" si="285"/>
        <v>6.3485151519034528E-7</v>
      </c>
      <c r="T343" s="85">
        <f t="shared" si="285"/>
        <v>4.1532843354945776E-7</v>
      </c>
      <c r="U343" s="85">
        <f t="shared" si="285"/>
        <v>2.2340458249323896E-7</v>
      </c>
      <c r="V343" s="85">
        <f t="shared" si="285"/>
        <v>2.2340458249323896E-7</v>
      </c>
      <c r="W343" s="85">
        <f t="shared" si="285"/>
        <v>2.2340458249323896E-7</v>
      </c>
      <c r="X343" s="85">
        <f t="shared" si="285"/>
        <v>2.2340458249323896E-7</v>
      </c>
      <c r="Y343" s="85">
        <f t="shared" si="285"/>
        <v>2.2340458249323896E-7</v>
      </c>
      <c r="Z343" s="85">
        <f t="shared" si="285"/>
        <v>2.2340458249323896E-7</v>
      </c>
      <c r="AA343" s="85">
        <f t="shared" si="285"/>
        <v>2.2340458249323896E-7</v>
      </c>
      <c r="AB343" s="85">
        <f t="shared" si="285"/>
        <v>2.2340458249323896E-7</v>
      </c>
      <c r="AC343" s="85">
        <f t="shared" si="285"/>
        <v>2.2340458249323896E-7</v>
      </c>
      <c r="AD343" s="85">
        <f t="shared" si="285"/>
        <v>2.2340458249323896E-7</v>
      </c>
    </row>
    <row r="344" spans="4:30" x14ac:dyDescent="0.3">
      <c r="D344" s="85" t="s">
        <v>421</v>
      </c>
      <c r="I344" s="85">
        <f t="shared" ref="I344:AD344" si="286">SUMPRODUCT($P$323:$P$332,AQ$323:AQ$332)/SUM(AQ$323:AQ$332)</f>
        <v>4.2258141482574215E-7</v>
      </c>
      <c r="J344" s="85">
        <f t="shared" si="286"/>
        <v>4.2258141482574215E-7</v>
      </c>
      <c r="K344" s="85">
        <f t="shared" si="286"/>
        <v>4.2258141482574215E-7</v>
      </c>
      <c r="L344" s="85">
        <f t="shared" si="286"/>
        <v>3.4315976089721455E-7</v>
      </c>
      <c r="M344" s="85">
        <f t="shared" si="286"/>
        <v>2.6373816299193668E-7</v>
      </c>
      <c r="N344" s="85">
        <f t="shared" si="286"/>
        <v>1.8431451700008424E-7</v>
      </c>
      <c r="O344" s="85">
        <f t="shared" si="286"/>
        <v>1.0488536248694822E-7</v>
      </c>
      <c r="P344" s="85">
        <f t="shared" si="286"/>
        <v>1.0523590464052012E-7</v>
      </c>
      <c r="Q344" s="85">
        <f t="shared" si="286"/>
        <v>1.0545682648170464E-7</v>
      </c>
      <c r="R344" s="85">
        <f t="shared" si="286"/>
        <v>1.0567774832288912E-7</v>
      </c>
      <c r="S344" s="85">
        <f t="shared" si="286"/>
        <v>1.0589939620758183E-7</v>
      </c>
      <c r="T344" s="85">
        <f t="shared" si="286"/>
        <v>1.0611956101793822E-7</v>
      </c>
      <c r="U344" s="85">
        <f t="shared" si="286"/>
        <v>1.0634107273753789E-7</v>
      </c>
      <c r="V344" s="85">
        <f t="shared" si="286"/>
        <v>1.0634107273753789E-7</v>
      </c>
      <c r="W344" s="85">
        <f t="shared" si="286"/>
        <v>1.0634107273753789E-7</v>
      </c>
      <c r="X344" s="85">
        <f t="shared" si="286"/>
        <v>1.0634107273753789E-7</v>
      </c>
      <c r="Y344" s="85">
        <f t="shared" si="286"/>
        <v>1.0634107273753789E-7</v>
      </c>
      <c r="Z344" s="85">
        <f t="shared" si="286"/>
        <v>1.0634107273753789E-7</v>
      </c>
      <c r="AA344" s="85">
        <f t="shared" si="286"/>
        <v>1.0634107273753789E-7</v>
      </c>
      <c r="AB344" s="85">
        <f t="shared" si="286"/>
        <v>1.0634107273753789E-7</v>
      </c>
      <c r="AC344" s="85">
        <f t="shared" si="286"/>
        <v>1.0634107273753789E-7</v>
      </c>
      <c r="AD344" s="85">
        <f t="shared" si="286"/>
        <v>1.0634107273753789E-7</v>
      </c>
    </row>
  </sheetData>
  <mergeCells count="12">
    <mergeCell ref="C286:C301"/>
    <mergeCell ref="C99:C114"/>
    <mergeCell ref="C116:C131"/>
    <mergeCell ref="C133:C148"/>
    <mergeCell ref="C150:C165"/>
    <mergeCell ref="C167:C182"/>
    <mergeCell ref="C184:C199"/>
    <mergeCell ref="C201:C216"/>
    <mergeCell ref="C218:C233"/>
    <mergeCell ref="C235:C250"/>
    <mergeCell ref="C252:C267"/>
    <mergeCell ref="C269:C28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FA81C-E0CD-4D21-82AC-F698B0545105}">
  <dimension ref="A1:AH41"/>
  <sheetViews>
    <sheetView workbookViewId="0">
      <pane xSplit="5" ySplit="2" topLeftCell="F3" activePane="bottomRight" state="frozen"/>
      <selection pane="topRight" activeCell="F1" sqref="F1"/>
      <selection pane="bottomLeft" activeCell="A3" sqref="A3"/>
      <selection pane="bottomRight" activeCell="F3" sqref="F3"/>
    </sheetView>
    <sheetView workbookViewId="1"/>
  </sheetViews>
  <sheetFormatPr defaultRowHeight="14.4" x14ac:dyDescent="0.3"/>
  <cols>
    <col min="3" max="3" width="27.44140625" bestFit="1" customWidth="1"/>
    <col min="4" max="4" width="14.6640625" bestFit="1" customWidth="1"/>
    <col min="7" max="7" width="13.109375" bestFit="1" customWidth="1"/>
    <col min="8" max="8" width="11" bestFit="1" customWidth="1"/>
    <col min="9" max="9" width="14.77734375" bestFit="1" customWidth="1"/>
    <col min="10" max="29" width="14.6640625" bestFit="1" customWidth="1"/>
  </cols>
  <sheetData>
    <row r="1" spans="1:34" s="85" customFormat="1" x14ac:dyDescent="0.3">
      <c r="A1" s="31" t="s">
        <v>436</v>
      </c>
      <c r="H1" s="85">
        <v>-1</v>
      </c>
      <c r="I1" s="85">
        <v>0</v>
      </c>
      <c r="J1" s="85">
        <f t="shared" ref="J1:AH2" si="0">I1+1</f>
        <v>1</v>
      </c>
      <c r="K1" s="85">
        <f t="shared" si="0"/>
        <v>2</v>
      </c>
      <c r="L1" s="85">
        <f t="shared" si="0"/>
        <v>3</v>
      </c>
      <c r="M1" s="85">
        <f t="shared" si="0"/>
        <v>4</v>
      </c>
      <c r="N1" s="85">
        <f t="shared" si="0"/>
        <v>5</v>
      </c>
      <c r="O1" s="85">
        <f t="shared" si="0"/>
        <v>6</v>
      </c>
      <c r="P1" s="85">
        <f t="shared" si="0"/>
        <v>7</v>
      </c>
      <c r="Q1" s="85">
        <f t="shared" si="0"/>
        <v>8</v>
      </c>
      <c r="R1" s="85">
        <f t="shared" si="0"/>
        <v>9</v>
      </c>
      <c r="S1" s="85">
        <f t="shared" si="0"/>
        <v>10</v>
      </c>
      <c r="T1" s="85">
        <f t="shared" si="0"/>
        <v>11</v>
      </c>
      <c r="U1" s="85">
        <f t="shared" si="0"/>
        <v>12</v>
      </c>
      <c r="V1" s="85">
        <f t="shared" si="0"/>
        <v>13</v>
      </c>
      <c r="W1" s="85">
        <f t="shared" si="0"/>
        <v>14</v>
      </c>
      <c r="X1" s="85">
        <f t="shared" si="0"/>
        <v>15</v>
      </c>
      <c r="Y1" s="85">
        <f t="shared" si="0"/>
        <v>16</v>
      </c>
      <c r="Z1" s="85">
        <f t="shared" si="0"/>
        <v>17</v>
      </c>
      <c r="AA1" s="85">
        <f t="shared" si="0"/>
        <v>18</v>
      </c>
      <c r="AB1" s="85">
        <f t="shared" si="0"/>
        <v>19</v>
      </c>
      <c r="AC1" s="85">
        <f t="shared" si="0"/>
        <v>20</v>
      </c>
      <c r="AD1" s="85">
        <f t="shared" si="0"/>
        <v>21</v>
      </c>
      <c r="AE1" s="85">
        <f t="shared" si="0"/>
        <v>22</v>
      </c>
      <c r="AF1" s="85">
        <f t="shared" si="0"/>
        <v>23</v>
      </c>
      <c r="AG1" s="85">
        <f t="shared" si="0"/>
        <v>24</v>
      </c>
      <c r="AH1" s="85">
        <f t="shared" si="0"/>
        <v>25</v>
      </c>
    </row>
    <row r="2" spans="1:34" s="31" customFormat="1" x14ac:dyDescent="0.3">
      <c r="E2" s="31" t="s">
        <v>3</v>
      </c>
      <c r="F2" s="31" t="s">
        <v>4</v>
      </c>
      <c r="G2" s="31" t="s">
        <v>301</v>
      </c>
      <c r="H2" s="31">
        <v>2022</v>
      </c>
      <c r="I2" s="31">
        <v>2023</v>
      </c>
      <c r="J2" s="31">
        <f t="shared" si="0"/>
        <v>2024</v>
      </c>
      <c r="K2" s="31">
        <f t="shared" si="0"/>
        <v>2025</v>
      </c>
      <c r="L2" s="31">
        <f t="shared" si="0"/>
        <v>2026</v>
      </c>
      <c r="M2" s="31">
        <f t="shared" si="0"/>
        <v>2027</v>
      </c>
      <c r="N2" s="31">
        <f t="shared" si="0"/>
        <v>2028</v>
      </c>
      <c r="O2" s="31">
        <f t="shared" si="0"/>
        <v>2029</v>
      </c>
      <c r="P2" s="31">
        <f t="shared" si="0"/>
        <v>2030</v>
      </c>
      <c r="Q2" s="31">
        <f t="shared" si="0"/>
        <v>2031</v>
      </c>
      <c r="R2" s="31">
        <f t="shared" si="0"/>
        <v>2032</v>
      </c>
      <c r="S2" s="31">
        <f t="shared" si="0"/>
        <v>2033</v>
      </c>
      <c r="T2" s="31">
        <f t="shared" si="0"/>
        <v>2034</v>
      </c>
      <c r="U2" s="31">
        <f t="shared" si="0"/>
        <v>2035</v>
      </c>
      <c r="V2" s="31">
        <f t="shared" si="0"/>
        <v>2036</v>
      </c>
      <c r="W2" s="31">
        <f t="shared" si="0"/>
        <v>2037</v>
      </c>
      <c r="X2" s="31">
        <f t="shared" si="0"/>
        <v>2038</v>
      </c>
      <c r="Y2" s="31">
        <f t="shared" si="0"/>
        <v>2039</v>
      </c>
      <c r="Z2" s="31">
        <f t="shared" si="0"/>
        <v>2040</v>
      </c>
      <c r="AA2" s="31">
        <f t="shared" si="0"/>
        <v>2041</v>
      </c>
      <c r="AB2" s="31">
        <f t="shared" si="0"/>
        <v>2042</v>
      </c>
      <c r="AC2" s="31">
        <f t="shared" si="0"/>
        <v>2043</v>
      </c>
      <c r="AD2" s="31">
        <f t="shared" si="0"/>
        <v>2044</v>
      </c>
      <c r="AE2" s="31">
        <f t="shared" si="0"/>
        <v>2045</v>
      </c>
      <c r="AF2" s="31">
        <f t="shared" si="0"/>
        <v>2046</v>
      </c>
      <c r="AG2" s="31">
        <f t="shared" si="0"/>
        <v>2047</v>
      </c>
      <c r="AH2" s="31">
        <f t="shared" si="0"/>
        <v>2048</v>
      </c>
    </row>
    <row r="3" spans="1:34" s="85" customFormat="1" x14ac:dyDescent="0.3"/>
    <row r="4" spans="1:34" s="85" customFormat="1" x14ac:dyDescent="0.3">
      <c r="D4" s="85" t="s">
        <v>479</v>
      </c>
    </row>
    <row r="5" spans="1:34" x14ac:dyDescent="0.3">
      <c r="B5" t="s">
        <v>398</v>
      </c>
      <c r="D5" s="12">
        <v>3900</v>
      </c>
    </row>
    <row r="6" spans="1:34" x14ac:dyDescent="0.3">
      <c r="B6" t="s">
        <v>399</v>
      </c>
      <c r="D6" s="12">
        <v>77200</v>
      </c>
    </row>
    <row r="7" spans="1:34" x14ac:dyDescent="0.3">
      <c r="B7" t="s">
        <v>400</v>
      </c>
      <c r="D7" s="12">
        <v>151100</v>
      </c>
    </row>
    <row r="8" spans="1:34" x14ac:dyDescent="0.3">
      <c r="B8" t="s">
        <v>401</v>
      </c>
      <c r="D8" s="12">
        <v>554800</v>
      </c>
    </row>
    <row r="9" spans="1:34" x14ac:dyDescent="0.3">
      <c r="B9" t="s">
        <v>402</v>
      </c>
      <c r="D9" s="12">
        <v>11600000</v>
      </c>
    </row>
    <row r="10" spans="1:34" x14ac:dyDescent="0.3">
      <c r="B10" t="s">
        <v>403</v>
      </c>
      <c r="D10" s="12">
        <v>210300</v>
      </c>
    </row>
    <row r="12" spans="1:34" x14ac:dyDescent="0.3">
      <c r="B12" s="85">
        <f>30049646/3742</f>
        <v>8030.3703901656872</v>
      </c>
      <c r="C12" s="85" t="s">
        <v>429</v>
      </c>
      <c r="D12" s="85"/>
    </row>
    <row r="13" spans="1:34" x14ac:dyDescent="0.3">
      <c r="B13" s="85">
        <f>1/B12</f>
        <v>1.2452725732609295E-4</v>
      </c>
      <c r="C13" s="85" t="s">
        <v>430</v>
      </c>
      <c r="D13" s="85"/>
    </row>
    <row r="14" spans="1:34" x14ac:dyDescent="0.3">
      <c r="B14" s="85">
        <v>1.6</v>
      </c>
      <c r="C14" s="85" t="s">
        <v>431</v>
      </c>
      <c r="D14" s="85"/>
    </row>
    <row r="15" spans="1:34" x14ac:dyDescent="0.3">
      <c r="B15" s="85"/>
      <c r="C15" s="31" t="s">
        <v>432</v>
      </c>
      <c r="D15" s="31" t="s">
        <v>435</v>
      </c>
    </row>
    <row r="16" spans="1:34" s="85" customFormat="1" x14ac:dyDescent="0.3">
      <c r="B16" s="85" t="s">
        <v>442</v>
      </c>
      <c r="C16" s="89">
        <f>B14/1000000*0.05</f>
        <v>8.0000000000000015E-8</v>
      </c>
      <c r="D16" s="73">
        <f>D5</f>
        <v>3900</v>
      </c>
    </row>
    <row r="17" spans="2:29" x14ac:dyDescent="0.3">
      <c r="B17" s="85" t="s">
        <v>433</v>
      </c>
      <c r="C17" s="89">
        <f>B14/1000000*0.15</f>
        <v>2.4000000000000003E-7</v>
      </c>
      <c r="D17" s="73">
        <f>D6</f>
        <v>77200</v>
      </c>
    </row>
    <row r="18" spans="2:29" x14ac:dyDescent="0.3">
      <c r="B18" s="85" t="s">
        <v>444</v>
      </c>
      <c r="C18" s="89">
        <f>B14/1000000*0.6</f>
        <v>9.6000000000000013E-7</v>
      </c>
      <c r="D18" s="73">
        <f>D7</f>
        <v>151100</v>
      </c>
    </row>
    <row r="19" spans="2:29" s="85" customFormat="1" x14ac:dyDescent="0.3">
      <c r="B19" s="85" t="s">
        <v>445</v>
      </c>
      <c r="C19" s="89">
        <f>B14/1000000*0.2</f>
        <v>3.2000000000000006E-7</v>
      </c>
      <c r="D19" s="73">
        <f>D8</f>
        <v>554800</v>
      </c>
    </row>
    <row r="20" spans="2:29" x14ac:dyDescent="0.3">
      <c r="B20" s="85" t="s">
        <v>434</v>
      </c>
      <c r="C20" s="89">
        <f>59/(262816000*(85000/2080))</f>
        <v>5.4934429634510566E-9</v>
      </c>
      <c r="D20" s="73">
        <f>D9</f>
        <v>11600000</v>
      </c>
    </row>
    <row r="21" spans="2:29" s="85" customFormat="1" x14ac:dyDescent="0.3">
      <c r="C21" s="89" t="s">
        <v>475</v>
      </c>
      <c r="D21" s="8">
        <v>6.8409999999999999E-2</v>
      </c>
      <c r="F21" s="9" t="s">
        <v>476</v>
      </c>
    </row>
    <row r="22" spans="2:29" s="85" customFormat="1" x14ac:dyDescent="0.3">
      <c r="C22" s="89"/>
      <c r="D22" s="73"/>
    </row>
    <row r="23" spans="2:29" x14ac:dyDescent="0.3">
      <c r="C23" s="31" t="s">
        <v>478</v>
      </c>
    </row>
    <row r="24" spans="2:29" x14ac:dyDescent="0.3">
      <c r="D24" t="s">
        <v>437</v>
      </c>
      <c r="E24" t="s">
        <v>13</v>
      </c>
      <c r="G24" s="13">
        <f>SUM(I24:AC24)</f>
        <v>415364707.33333343</v>
      </c>
      <c r="I24" s="12">
        <f>SUM('2_MODEL_Costs'!I43:I45)</f>
        <v>19087714.879999999</v>
      </c>
      <c r="J24" s="12">
        <f>SUM('2_MODEL_Costs'!J43:J45)</f>
        <v>19087714.879999999</v>
      </c>
      <c r="K24" s="12">
        <f>SUM('2_MODEL_Costs'!K43:K45)</f>
        <v>19087714.879999999</v>
      </c>
      <c r="L24" s="12">
        <f>SUM('2_MODEL_Costs'!L43:L45)</f>
        <v>19087714.879999999</v>
      </c>
      <c r="M24" s="12">
        <f>SUM('2_MODEL_Costs'!M43:M45)</f>
        <v>19087714.879999999</v>
      </c>
      <c r="N24" s="12">
        <f>SUM('2_MODEL_Costs'!N43:N45)</f>
        <v>19087714.879999999</v>
      </c>
      <c r="O24" s="12">
        <f>SUM('2_MODEL_Costs'!O43:O45)</f>
        <v>19087714.879999999</v>
      </c>
      <c r="P24" s="12">
        <f>SUM('2_MODEL_Costs'!P43:P45)</f>
        <v>20125050.226666667</v>
      </c>
      <c r="Q24" s="12">
        <f>SUM('2_MODEL_Costs'!Q43:Q45)</f>
        <v>20125050.226666667</v>
      </c>
      <c r="R24" s="12">
        <f>SUM('2_MODEL_Costs'!R43:R45)</f>
        <v>20125050.226666667</v>
      </c>
      <c r="S24" s="12">
        <f>SUM('2_MODEL_Costs'!S43:S45)</f>
        <v>20125050.226666667</v>
      </c>
      <c r="T24" s="12">
        <f>SUM('2_MODEL_Costs'!T43:T45)</f>
        <v>20125050.226666667</v>
      </c>
      <c r="U24" s="12">
        <f>SUM('2_MODEL_Costs'!U43:U45)</f>
        <v>20125050.226666667</v>
      </c>
      <c r="V24" s="12">
        <f>SUM('2_MODEL_Costs'!V43:V45)</f>
        <v>20125050.226666667</v>
      </c>
      <c r="W24" s="12">
        <f>SUM('2_MODEL_Costs'!W43:W45)</f>
        <v>20125050.226666667</v>
      </c>
      <c r="X24" s="12">
        <f>SUM('2_MODEL_Costs'!X43:X45)</f>
        <v>20125050.226666667</v>
      </c>
      <c r="Y24" s="12">
        <f>SUM('2_MODEL_Costs'!Y43:Y45)</f>
        <v>20125050.226666667</v>
      </c>
      <c r="Z24" s="12">
        <f>SUM('2_MODEL_Costs'!Z43:Z45)</f>
        <v>20125050.226666667</v>
      </c>
      <c r="AA24" s="12">
        <f>SUM('2_MODEL_Costs'!AA43:AA45)</f>
        <v>20125050.226666667</v>
      </c>
      <c r="AB24" s="12">
        <f>SUM('2_MODEL_Costs'!AB43:AB45)</f>
        <v>20125050.226666667</v>
      </c>
      <c r="AC24" s="12">
        <f>SUM('2_MODEL_Costs'!AC43:AC45)</f>
        <v>20125050.226666667</v>
      </c>
    </row>
    <row r="25" spans="2:29" s="85" customFormat="1" x14ac:dyDescent="0.3">
      <c r="D25" s="85" t="s">
        <v>443</v>
      </c>
      <c r="G25" s="13"/>
      <c r="I25" s="38">
        <f>I$24*$C16</f>
        <v>1.5270171904000003</v>
      </c>
      <c r="J25" s="38">
        <f t="shared" ref="J25:AC25" si="1">J$24*$C16</f>
        <v>1.5270171904000003</v>
      </c>
      <c r="K25" s="38">
        <f t="shared" si="1"/>
        <v>1.5270171904000003</v>
      </c>
      <c r="L25" s="38">
        <f t="shared" si="1"/>
        <v>1.5270171904000003</v>
      </c>
      <c r="M25" s="38">
        <f t="shared" si="1"/>
        <v>1.5270171904000003</v>
      </c>
      <c r="N25" s="38">
        <f t="shared" si="1"/>
        <v>1.5270171904000003</v>
      </c>
      <c r="O25" s="38">
        <f t="shared" si="1"/>
        <v>1.5270171904000003</v>
      </c>
      <c r="P25" s="38">
        <f t="shared" si="1"/>
        <v>1.6100040181333337</v>
      </c>
      <c r="Q25" s="38">
        <f t="shared" si="1"/>
        <v>1.6100040181333337</v>
      </c>
      <c r="R25" s="38">
        <f t="shared" si="1"/>
        <v>1.6100040181333337</v>
      </c>
      <c r="S25" s="38">
        <f t="shared" si="1"/>
        <v>1.6100040181333337</v>
      </c>
      <c r="T25" s="38">
        <f t="shared" si="1"/>
        <v>1.6100040181333337</v>
      </c>
      <c r="U25" s="38">
        <f t="shared" si="1"/>
        <v>1.6100040181333337</v>
      </c>
      <c r="V25" s="38">
        <f t="shared" si="1"/>
        <v>1.6100040181333337</v>
      </c>
      <c r="W25" s="38">
        <f t="shared" si="1"/>
        <v>1.6100040181333337</v>
      </c>
      <c r="X25" s="38">
        <f t="shared" si="1"/>
        <v>1.6100040181333337</v>
      </c>
      <c r="Y25" s="38">
        <f t="shared" si="1"/>
        <v>1.6100040181333337</v>
      </c>
      <c r="Z25" s="38">
        <f t="shared" si="1"/>
        <v>1.6100040181333337</v>
      </c>
      <c r="AA25" s="38">
        <f t="shared" si="1"/>
        <v>1.6100040181333337</v>
      </c>
      <c r="AB25" s="38">
        <f t="shared" si="1"/>
        <v>1.6100040181333337</v>
      </c>
      <c r="AC25" s="38">
        <f t="shared" si="1"/>
        <v>1.6100040181333337</v>
      </c>
    </row>
    <row r="26" spans="2:29" s="85" customFormat="1" x14ac:dyDescent="0.3">
      <c r="D26" s="85" t="s">
        <v>439</v>
      </c>
      <c r="I26" s="38">
        <f>I$24*$C17</f>
        <v>4.5810515712000006</v>
      </c>
      <c r="J26" s="38">
        <f t="shared" ref="J26:AC26" si="2">J$24*$C17</f>
        <v>4.5810515712000006</v>
      </c>
      <c r="K26" s="38">
        <f t="shared" si="2"/>
        <v>4.5810515712000006</v>
      </c>
      <c r="L26" s="38">
        <f t="shared" si="2"/>
        <v>4.5810515712000006</v>
      </c>
      <c r="M26" s="38">
        <f t="shared" si="2"/>
        <v>4.5810515712000006</v>
      </c>
      <c r="N26" s="38">
        <f t="shared" si="2"/>
        <v>4.5810515712000006</v>
      </c>
      <c r="O26" s="38">
        <f t="shared" si="2"/>
        <v>4.5810515712000006</v>
      </c>
      <c r="P26" s="38">
        <f t="shared" si="2"/>
        <v>4.8300120544000009</v>
      </c>
      <c r="Q26" s="38">
        <f t="shared" si="2"/>
        <v>4.8300120544000009</v>
      </c>
      <c r="R26" s="38">
        <f t="shared" si="2"/>
        <v>4.8300120544000009</v>
      </c>
      <c r="S26" s="38">
        <f t="shared" si="2"/>
        <v>4.8300120544000009</v>
      </c>
      <c r="T26" s="38">
        <f t="shared" si="2"/>
        <v>4.8300120544000009</v>
      </c>
      <c r="U26" s="38">
        <f t="shared" si="2"/>
        <v>4.8300120544000009</v>
      </c>
      <c r="V26" s="38">
        <f t="shared" si="2"/>
        <v>4.8300120544000009</v>
      </c>
      <c r="W26" s="38">
        <f t="shared" si="2"/>
        <v>4.8300120544000009</v>
      </c>
      <c r="X26" s="38">
        <f t="shared" si="2"/>
        <v>4.8300120544000009</v>
      </c>
      <c r="Y26" s="38">
        <f t="shared" si="2"/>
        <v>4.8300120544000009</v>
      </c>
      <c r="Z26" s="38">
        <f t="shared" si="2"/>
        <v>4.8300120544000009</v>
      </c>
      <c r="AA26" s="38">
        <f t="shared" si="2"/>
        <v>4.8300120544000009</v>
      </c>
      <c r="AB26" s="38">
        <f t="shared" si="2"/>
        <v>4.8300120544000009</v>
      </c>
      <c r="AC26" s="38">
        <f t="shared" si="2"/>
        <v>4.8300120544000009</v>
      </c>
    </row>
    <row r="27" spans="2:29" s="85" customFormat="1" x14ac:dyDescent="0.3">
      <c r="D27" s="85" t="s">
        <v>446</v>
      </c>
      <c r="I27" s="38">
        <f>I$24*$C18</f>
        <v>18.324206284800002</v>
      </c>
      <c r="J27" s="38">
        <f t="shared" ref="J27:AC27" si="3">J$24*$C18</f>
        <v>18.324206284800002</v>
      </c>
      <c r="K27" s="38">
        <f t="shared" si="3"/>
        <v>18.324206284800002</v>
      </c>
      <c r="L27" s="38">
        <f t="shared" si="3"/>
        <v>18.324206284800002</v>
      </c>
      <c r="M27" s="38">
        <f t="shared" si="3"/>
        <v>18.324206284800002</v>
      </c>
      <c r="N27" s="38">
        <f t="shared" si="3"/>
        <v>18.324206284800002</v>
      </c>
      <c r="O27" s="38">
        <f t="shared" si="3"/>
        <v>18.324206284800002</v>
      </c>
      <c r="P27" s="38">
        <f t="shared" si="3"/>
        <v>19.320048217600004</v>
      </c>
      <c r="Q27" s="38">
        <f t="shared" si="3"/>
        <v>19.320048217600004</v>
      </c>
      <c r="R27" s="38">
        <f t="shared" si="3"/>
        <v>19.320048217600004</v>
      </c>
      <c r="S27" s="38">
        <f t="shared" si="3"/>
        <v>19.320048217600004</v>
      </c>
      <c r="T27" s="38">
        <f t="shared" si="3"/>
        <v>19.320048217600004</v>
      </c>
      <c r="U27" s="38">
        <f t="shared" si="3"/>
        <v>19.320048217600004</v>
      </c>
      <c r="V27" s="38">
        <f t="shared" si="3"/>
        <v>19.320048217600004</v>
      </c>
      <c r="W27" s="38">
        <f t="shared" si="3"/>
        <v>19.320048217600004</v>
      </c>
      <c r="X27" s="38">
        <f t="shared" si="3"/>
        <v>19.320048217600004</v>
      </c>
      <c r="Y27" s="38">
        <f t="shared" si="3"/>
        <v>19.320048217600004</v>
      </c>
      <c r="Z27" s="38">
        <f t="shared" si="3"/>
        <v>19.320048217600004</v>
      </c>
      <c r="AA27" s="38">
        <f t="shared" si="3"/>
        <v>19.320048217600004</v>
      </c>
      <c r="AB27" s="38">
        <f t="shared" si="3"/>
        <v>19.320048217600004</v>
      </c>
      <c r="AC27" s="38">
        <f t="shared" si="3"/>
        <v>19.320048217600004</v>
      </c>
    </row>
    <row r="28" spans="2:29" s="85" customFormat="1" x14ac:dyDescent="0.3">
      <c r="D28" s="85" t="s">
        <v>447</v>
      </c>
      <c r="I28" s="38">
        <f>I$24*$C19</f>
        <v>6.1080687616000011</v>
      </c>
      <c r="J28" s="38">
        <f t="shared" ref="J28:AC28" si="4">J$24*$C19</f>
        <v>6.1080687616000011</v>
      </c>
      <c r="K28" s="38">
        <f t="shared" si="4"/>
        <v>6.1080687616000011</v>
      </c>
      <c r="L28" s="38">
        <f t="shared" si="4"/>
        <v>6.1080687616000011</v>
      </c>
      <c r="M28" s="38">
        <f t="shared" si="4"/>
        <v>6.1080687616000011</v>
      </c>
      <c r="N28" s="38">
        <f t="shared" si="4"/>
        <v>6.1080687616000011</v>
      </c>
      <c r="O28" s="38">
        <f t="shared" si="4"/>
        <v>6.1080687616000011</v>
      </c>
      <c r="P28" s="38">
        <f t="shared" si="4"/>
        <v>6.4400160725333349</v>
      </c>
      <c r="Q28" s="38">
        <f t="shared" si="4"/>
        <v>6.4400160725333349</v>
      </c>
      <c r="R28" s="38">
        <f t="shared" si="4"/>
        <v>6.4400160725333349</v>
      </c>
      <c r="S28" s="38">
        <f t="shared" si="4"/>
        <v>6.4400160725333349</v>
      </c>
      <c r="T28" s="38">
        <f t="shared" si="4"/>
        <v>6.4400160725333349</v>
      </c>
      <c r="U28" s="38">
        <f t="shared" si="4"/>
        <v>6.4400160725333349</v>
      </c>
      <c r="V28" s="38">
        <f t="shared" si="4"/>
        <v>6.4400160725333349</v>
      </c>
      <c r="W28" s="38">
        <f t="shared" si="4"/>
        <v>6.4400160725333349</v>
      </c>
      <c r="X28" s="38">
        <f t="shared" si="4"/>
        <v>6.4400160725333349</v>
      </c>
      <c r="Y28" s="38">
        <f t="shared" si="4"/>
        <v>6.4400160725333349</v>
      </c>
      <c r="Z28" s="38">
        <f t="shared" si="4"/>
        <v>6.4400160725333349</v>
      </c>
      <c r="AA28" s="38">
        <f t="shared" si="4"/>
        <v>6.4400160725333349</v>
      </c>
      <c r="AB28" s="38">
        <f t="shared" si="4"/>
        <v>6.4400160725333349</v>
      </c>
      <c r="AC28" s="38">
        <f t="shared" si="4"/>
        <v>6.4400160725333349</v>
      </c>
    </row>
    <row r="29" spans="2:29" s="85" customFormat="1" x14ac:dyDescent="0.3">
      <c r="D29" s="85" t="s">
        <v>440</v>
      </c>
      <c r="I29" s="38">
        <f>I$24*$C20</f>
        <v>0.10485727299589602</v>
      </c>
      <c r="J29" s="38">
        <f t="shared" ref="J29:AC29" si="5">J$24*$C20</f>
        <v>0.10485727299589602</v>
      </c>
      <c r="K29" s="38">
        <f t="shared" si="5"/>
        <v>0.10485727299589602</v>
      </c>
      <c r="L29" s="38">
        <f t="shared" si="5"/>
        <v>0.10485727299589602</v>
      </c>
      <c r="M29" s="38">
        <f t="shared" si="5"/>
        <v>0.10485727299589602</v>
      </c>
      <c r="N29" s="38">
        <f t="shared" si="5"/>
        <v>0.10485727299589602</v>
      </c>
      <c r="O29" s="38">
        <f t="shared" si="5"/>
        <v>0.10485727299589602</v>
      </c>
      <c r="P29" s="38">
        <f t="shared" si="5"/>
        <v>0.1105558155567811</v>
      </c>
      <c r="Q29" s="38">
        <f t="shared" si="5"/>
        <v>0.1105558155567811</v>
      </c>
      <c r="R29" s="38">
        <f t="shared" si="5"/>
        <v>0.1105558155567811</v>
      </c>
      <c r="S29" s="38">
        <f t="shared" si="5"/>
        <v>0.1105558155567811</v>
      </c>
      <c r="T29" s="38">
        <f t="shared" si="5"/>
        <v>0.1105558155567811</v>
      </c>
      <c r="U29" s="38">
        <f t="shared" si="5"/>
        <v>0.1105558155567811</v>
      </c>
      <c r="V29" s="38">
        <f t="shared" si="5"/>
        <v>0.1105558155567811</v>
      </c>
      <c r="W29" s="38">
        <f t="shared" si="5"/>
        <v>0.1105558155567811</v>
      </c>
      <c r="X29" s="38">
        <f t="shared" si="5"/>
        <v>0.1105558155567811</v>
      </c>
      <c r="Y29" s="38">
        <f t="shared" si="5"/>
        <v>0.1105558155567811</v>
      </c>
      <c r="Z29" s="38">
        <f t="shared" si="5"/>
        <v>0.1105558155567811</v>
      </c>
      <c r="AA29" s="38">
        <f t="shared" si="5"/>
        <v>0.1105558155567811</v>
      </c>
      <c r="AB29" s="38">
        <f t="shared" si="5"/>
        <v>0.1105558155567811</v>
      </c>
      <c r="AC29" s="38">
        <f t="shared" si="5"/>
        <v>0.1105558155567811</v>
      </c>
    </row>
    <row r="30" spans="2:29" s="85" customFormat="1" x14ac:dyDescent="0.3">
      <c r="D30" s="85" t="s">
        <v>441</v>
      </c>
      <c r="I30" s="32">
        <f>SUMPRODUCT($D$16:$D$20,I25:I29)</f>
        <v>7733501.0336605553</v>
      </c>
      <c r="J30" s="32">
        <f t="shared" ref="J30:AC30" si="6">SUMPRODUCT($D$16:$D$20,J25:J29)</f>
        <v>7733501.0336605553</v>
      </c>
      <c r="K30" s="32">
        <f t="shared" si="6"/>
        <v>7733501.0336605553</v>
      </c>
      <c r="L30" s="32">
        <f t="shared" si="6"/>
        <v>7733501.0336605553</v>
      </c>
      <c r="M30" s="32">
        <f t="shared" si="6"/>
        <v>7733501.0336605553</v>
      </c>
      <c r="N30" s="32">
        <f t="shared" si="6"/>
        <v>7733501.0336605553</v>
      </c>
      <c r="O30" s="32">
        <f t="shared" si="6"/>
        <v>7733501.0336605553</v>
      </c>
      <c r="P30" s="32">
        <f t="shared" si="6"/>
        <v>8153783.6094499156</v>
      </c>
      <c r="Q30" s="32">
        <f t="shared" si="6"/>
        <v>8153783.6094499156</v>
      </c>
      <c r="R30" s="32">
        <f t="shared" si="6"/>
        <v>8153783.6094499156</v>
      </c>
      <c r="S30" s="32">
        <f t="shared" si="6"/>
        <v>8153783.6094499156</v>
      </c>
      <c r="T30" s="32">
        <f t="shared" si="6"/>
        <v>8153783.6094499156</v>
      </c>
      <c r="U30" s="32">
        <f t="shared" si="6"/>
        <v>8153783.6094499156</v>
      </c>
      <c r="V30" s="32">
        <f t="shared" si="6"/>
        <v>8153783.6094499156</v>
      </c>
      <c r="W30" s="32">
        <f t="shared" si="6"/>
        <v>8153783.6094499156</v>
      </c>
      <c r="X30" s="32">
        <f t="shared" si="6"/>
        <v>8153783.6094499156</v>
      </c>
      <c r="Y30" s="32">
        <f t="shared" si="6"/>
        <v>8153783.6094499156</v>
      </c>
      <c r="Z30" s="32">
        <f t="shared" si="6"/>
        <v>8153783.6094499156</v>
      </c>
      <c r="AA30" s="32">
        <f t="shared" si="6"/>
        <v>8153783.6094499156</v>
      </c>
      <c r="AB30" s="32">
        <f t="shared" si="6"/>
        <v>8153783.6094499156</v>
      </c>
      <c r="AC30" s="32">
        <f t="shared" si="6"/>
        <v>8153783.6094499156</v>
      </c>
    </row>
    <row r="31" spans="2:29" s="85" customFormat="1" x14ac:dyDescent="0.3"/>
    <row r="32" spans="2:29" x14ac:dyDescent="0.3">
      <c r="D32" t="s">
        <v>438</v>
      </c>
      <c r="G32" s="13">
        <f>SUM(I32:AC32)</f>
        <v>309556501.97333324</v>
      </c>
      <c r="I32" s="12">
        <f>SUM('2_MODEL_Costs'!I22:I24)</f>
        <v>18569047.206666671</v>
      </c>
      <c r="J32" s="12">
        <f>SUM('2_MODEL_Costs'!J22:J24)</f>
        <v>17013044.186666667</v>
      </c>
      <c r="K32" s="12">
        <f>SUM('2_MODEL_Costs'!K22:K24)</f>
        <v>14419705.82</v>
      </c>
      <c r="L32" s="12">
        <f>SUM('2_MODEL_Costs'!L22:L24)</f>
        <v>14419705.82</v>
      </c>
      <c r="M32" s="12">
        <f>SUM('2_MODEL_Costs'!M22:M24)</f>
        <v>14419705.82</v>
      </c>
      <c r="N32" s="12">
        <f>SUM('2_MODEL_Costs'!N22:N24)</f>
        <v>14419705.82</v>
      </c>
      <c r="O32" s="12">
        <f>SUM('2_MODEL_Costs'!O22:O24)</f>
        <v>14419705.82</v>
      </c>
      <c r="P32" s="12">
        <f>SUM('2_MODEL_Costs'!P22:P24)</f>
        <v>14419705.82</v>
      </c>
      <c r="Q32" s="12">
        <f>SUM('2_MODEL_Costs'!Q22:Q24)</f>
        <v>14419705.82</v>
      </c>
      <c r="R32" s="12">
        <f>SUM('2_MODEL_Costs'!R22:R24)</f>
        <v>14419705.82</v>
      </c>
      <c r="S32" s="12">
        <f>SUM('2_MODEL_Costs'!S22:S24)</f>
        <v>14419705.82</v>
      </c>
      <c r="T32" s="12">
        <f>SUM('2_MODEL_Costs'!T22:T24)</f>
        <v>14419705.82</v>
      </c>
      <c r="U32" s="12">
        <f>SUM('2_MODEL_Costs'!U22:U24)</f>
        <v>14419705.82</v>
      </c>
      <c r="V32" s="12">
        <f>SUM('2_MODEL_Costs'!V22:V24)</f>
        <v>14419705.82</v>
      </c>
      <c r="W32" s="12">
        <f>SUM('2_MODEL_Costs'!W22:W24)</f>
        <v>14419705.82</v>
      </c>
      <c r="X32" s="12">
        <f>SUM('2_MODEL_Costs'!X22:X24)</f>
        <v>14419705.82</v>
      </c>
      <c r="Y32" s="12">
        <f>SUM('2_MODEL_Costs'!Y22:Y24)</f>
        <v>14419705.82</v>
      </c>
      <c r="Z32" s="12">
        <f>SUM('2_MODEL_Costs'!Z22:Z24)</f>
        <v>14419705.82</v>
      </c>
      <c r="AA32" s="12">
        <f>SUM('2_MODEL_Costs'!AA22:AA24)</f>
        <v>14419705.82</v>
      </c>
      <c r="AB32" s="12">
        <f>SUM('2_MODEL_Costs'!AB22:AB24)</f>
        <v>14419705.82</v>
      </c>
      <c r="AC32" s="12">
        <f>SUM('2_MODEL_Costs'!AC22:AC24)</f>
        <v>14419705.82</v>
      </c>
    </row>
    <row r="33" spans="3:29" x14ac:dyDescent="0.3">
      <c r="D33" s="85" t="s">
        <v>443</v>
      </c>
      <c r="F33" t="s">
        <v>477</v>
      </c>
      <c r="I33" s="38">
        <f>I$32*$C16*(1-$D$21/6)</f>
        <v>1.4685863296078931</v>
      </c>
      <c r="J33" s="38">
        <f>J$32*$C16*(1-$D$21/2)</f>
        <v>1.3144890408209389</v>
      </c>
      <c r="K33" s="38">
        <f t="shared" ref="J33:AC33" si="7">K$32*$C16*(1-$D$21)</f>
        <v>1.0746602995883043</v>
      </c>
      <c r="L33" s="38">
        <f t="shared" si="7"/>
        <v>1.0746602995883043</v>
      </c>
      <c r="M33" s="38">
        <f t="shared" si="7"/>
        <v>1.0746602995883043</v>
      </c>
      <c r="N33" s="38">
        <f t="shared" si="7"/>
        <v>1.0746602995883043</v>
      </c>
      <c r="O33" s="38">
        <f t="shared" si="7"/>
        <v>1.0746602995883043</v>
      </c>
      <c r="P33" s="38">
        <f t="shared" si="7"/>
        <v>1.0746602995883043</v>
      </c>
      <c r="Q33" s="38">
        <f t="shared" si="7"/>
        <v>1.0746602995883043</v>
      </c>
      <c r="R33" s="38">
        <f t="shared" si="7"/>
        <v>1.0746602995883043</v>
      </c>
      <c r="S33" s="38">
        <f t="shared" si="7"/>
        <v>1.0746602995883043</v>
      </c>
      <c r="T33" s="38">
        <f t="shared" si="7"/>
        <v>1.0746602995883043</v>
      </c>
      <c r="U33" s="38">
        <f t="shared" si="7"/>
        <v>1.0746602995883043</v>
      </c>
      <c r="V33" s="38">
        <f t="shared" si="7"/>
        <v>1.0746602995883043</v>
      </c>
      <c r="W33" s="38">
        <f t="shared" si="7"/>
        <v>1.0746602995883043</v>
      </c>
      <c r="X33" s="38">
        <f t="shared" si="7"/>
        <v>1.0746602995883043</v>
      </c>
      <c r="Y33" s="38">
        <f t="shared" si="7"/>
        <v>1.0746602995883043</v>
      </c>
      <c r="Z33" s="38">
        <f t="shared" si="7"/>
        <v>1.0746602995883043</v>
      </c>
      <c r="AA33" s="38">
        <f t="shared" si="7"/>
        <v>1.0746602995883043</v>
      </c>
      <c r="AB33" s="38">
        <f t="shared" si="7"/>
        <v>1.0746602995883043</v>
      </c>
      <c r="AC33" s="38">
        <f t="shared" si="7"/>
        <v>1.0746602995883043</v>
      </c>
    </row>
    <row r="34" spans="3:29" x14ac:dyDescent="0.3">
      <c r="D34" s="85" t="s">
        <v>439</v>
      </c>
      <c r="F34" s="85" t="s">
        <v>477</v>
      </c>
      <c r="I34" s="38">
        <f>I$32*$C17*(1-$D$21/6)</f>
        <v>4.4057589888236794</v>
      </c>
      <c r="J34" s="38">
        <f>J$32*$C17*(1-$D$21/2)</f>
        <v>3.9434671224628168</v>
      </c>
      <c r="K34" s="38">
        <f t="shared" ref="I34:AC34" si="8">K$32*$C17*(1-$D$21)</f>
        <v>3.2239808987649128</v>
      </c>
      <c r="L34" s="38">
        <f t="shared" si="8"/>
        <v>3.2239808987649128</v>
      </c>
      <c r="M34" s="38">
        <f t="shared" si="8"/>
        <v>3.2239808987649128</v>
      </c>
      <c r="N34" s="38">
        <f t="shared" si="8"/>
        <v>3.2239808987649128</v>
      </c>
      <c r="O34" s="38">
        <f t="shared" si="8"/>
        <v>3.2239808987649128</v>
      </c>
      <c r="P34" s="38">
        <f t="shared" si="8"/>
        <v>3.2239808987649128</v>
      </c>
      <c r="Q34" s="38">
        <f t="shared" si="8"/>
        <v>3.2239808987649128</v>
      </c>
      <c r="R34" s="38">
        <f t="shared" si="8"/>
        <v>3.2239808987649128</v>
      </c>
      <c r="S34" s="38">
        <f t="shared" si="8"/>
        <v>3.2239808987649128</v>
      </c>
      <c r="T34" s="38">
        <f t="shared" si="8"/>
        <v>3.2239808987649128</v>
      </c>
      <c r="U34" s="38">
        <f t="shared" si="8"/>
        <v>3.2239808987649128</v>
      </c>
      <c r="V34" s="38">
        <f t="shared" si="8"/>
        <v>3.2239808987649128</v>
      </c>
      <c r="W34" s="38">
        <f t="shared" si="8"/>
        <v>3.2239808987649128</v>
      </c>
      <c r="X34" s="38">
        <f t="shared" si="8"/>
        <v>3.2239808987649128</v>
      </c>
      <c r="Y34" s="38">
        <f t="shared" si="8"/>
        <v>3.2239808987649128</v>
      </c>
      <c r="Z34" s="38">
        <f t="shared" si="8"/>
        <v>3.2239808987649128</v>
      </c>
      <c r="AA34" s="38">
        <f t="shared" si="8"/>
        <v>3.2239808987649128</v>
      </c>
      <c r="AB34" s="38">
        <f t="shared" si="8"/>
        <v>3.2239808987649128</v>
      </c>
      <c r="AC34" s="38">
        <f t="shared" si="8"/>
        <v>3.2239808987649128</v>
      </c>
    </row>
    <row r="35" spans="3:29" s="85" customFormat="1" x14ac:dyDescent="0.3">
      <c r="D35" s="85" t="s">
        <v>446</v>
      </c>
      <c r="F35" s="85" t="s">
        <v>477</v>
      </c>
      <c r="I35" s="38">
        <f>I$32*$C18*(1-$D$21/6)</f>
        <v>17.623035955294718</v>
      </c>
      <c r="J35" s="38">
        <f>J$32*$C18*(1-$D$21/2)</f>
        <v>15.773868489851267</v>
      </c>
      <c r="K35" s="38">
        <f t="shared" ref="I35:AC35" si="9">K$32*$C18*(1-$D$21)</f>
        <v>12.895923595059651</v>
      </c>
      <c r="L35" s="38">
        <f t="shared" si="9"/>
        <v>12.895923595059651</v>
      </c>
      <c r="M35" s="38">
        <f t="shared" si="9"/>
        <v>12.895923595059651</v>
      </c>
      <c r="N35" s="38">
        <f t="shared" si="9"/>
        <v>12.895923595059651</v>
      </c>
      <c r="O35" s="38">
        <f t="shared" si="9"/>
        <v>12.895923595059651</v>
      </c>
      <c r="P35" s="38">
        <f t="shared" si="9"/>
        <v>12.895923595059651</v>
      </c>
      <c r="Q35" s="38">
        <f t="shared" si="9"/>
        <v>12.895923595059651</v>
      </c>
      <c r="R35" s="38">
        <f t="shared" si="9"/>
        <v>12.895923595059651</v>
      </c>
      <c r="S35" s="38">
        <f t="shared" si="9"/>
        <v>12.895923595059651</v>
      </c>
      <c r="T35" s="38">
        <f t="shared" si="9"/>
        <v>12.895923595059651</v>
      </c>
      <c r="U35" s="38">
        <f t="shared" si="9"/>
        <v>12.895923595059651</v>
      </c>
      <c r="V35" s="38">
        <f t="shared" si="9"/>
        <v>12.895923595059651</v>
      </c>
      <c r="W35" s="38">
        <f t="shared" si="9"/>
        <v>12.895923595059651</v>
      </c>
      <c r="X35" s="38">
        <f t="shared" si="9"/>
        <v>12.895923595059651</v>
      </c>
      <c r="Y35" s="38">
        <f t="shared" si="9"/>
        <v>12.895923595059651</v>
      </c>
      <c r="Z35" s="38">
        <f t="shared" si="9"/>
        <v>12.895923595059651</v>
      </c>
      <c r="AA35" s="38">
        <f t="shared" si="9"/>
        <v>12.895923595059651</v>
      </c>
      <c r="AB35" s="38">
        <f t="shared" si="9"/>
        <v>12.895923595059651</v>
      </c>
      <c r="AC35" s="38">
        <f t="shared" si="9"/>
        <v>12.895923595059651</v>
      </c>
    </row>
    <row r="36" spans="3:29" x14ac:dyDescent="0.3">
      <c r="D36" s="85" t="s">
        <v>447</v>
      </c>
      <c r="F36" s="85" t="s">
        <v>477</v>
      </c>
      <c r="I36" s="38">
        <f>I$32*$C19*(1-$D$21/6)</f>
        <v>5.8743453184315726</v>
      </c>
      <c r="J36" s="38">
        <f>J$32*$C19*(1-$D$21/2)</f>
        <v>5.2579561632837555</v>
      </c>
      <c r="K36" s="38">
        <f t="shared" ref="I36:AC36" si="10">K$32*$C19*(1-$D$21)</f>
        <v>4.2986411983532173</v>
      </c>
      <c r="L36" s="38">
        <f t="shared" si="10"/>
        <v>4.2986411983532173</v>
      </c>
      <c r="M36" s="38">
        <f t="shared" si="10"/>
        <v>4.2986411983532173</v>
      </c>
      <c r="N36" s="38">
        <f t="shared" si="10"/>
        <v>4.2986411983532173</v>
      </c>
      <c r="O36" s="38">
        <f t="shared" si="10"/>
        <v>4.2986411983532173</v>
      </c>
      <c r="P36" s="38">
        <f t="shared" si="10"/>
        <v>4.2986411983532173</v>
      </c>
      <c r="Q36" s="38">
        <f t="shared" si="10"/>
        <v>4.2986411983532173</v>
      </c>
      <c r="R36" s="38">
        <f t="shared" si="10"/>
        <v>4.2986411983532173</v>
      </c>
      <c r="S36" s="38">
        <f t="shared" si="10"/>
        <v>4.2986411983532173</v>
      </c>
      <c r="T36" s="38">
        <f t="shared" si="10"/>
        <v>4.2986411983532173</v>
      </c>
      <c r="U36" s="38">
        <f t="shared" si="10"/>
        <v>4.2986411983532173</v>
      </c>
      <c r="V36" s="38">
        <f t="shared" si="10"/>
        <v>4.2986411983532173</v>
      </c>
      <c r="W36" s="38">
        <f t="shared" si="10"/>
        <v>4.2986411983532173</v>
      </c>
      <c r="X36" s="38">
        <f t="shared" si="10"/>
        <v>4.2986411983532173</v>
      </c>
      <c r="Y36" s="38">
        <f t="shared" si="10"/>
        <v>4.2986411983532173</v>
      </c>
      <c r="Z36" s="38">
        <f t="shared" si="10"/>
        <v>4.2986411983532173</v>
      </c>
      <c r="AA36" s="38">
        <f t="shared" si="10"/>
        <v>4.2986411983532173</v>
      </c>
      <c r="AB36" s="38">
        <f t="shared" si="10"/>
        <v>4.2986411983532173</v>
      </c>
      <c r="AC36" s="38">
        <f t="shared" si="10"/>
        <v>4.2986411983532173</v>
      </c>
    </row>
    <row r="37" spans="3:29" x14ac:dyDescent="0.3">
      <c r="D37" s="85" t="s">
        <v>440</v>
      </c>
      <c r="F37" s="85" t="s">
        <v>477</v>
      </c>
      <c r="I37" s="38">
        <f>I$32*$C20*(1-$D$21/6)</f>
        <v>0.10084494048256115</v>
      </c>
      <c r="J37" s="38">
        <f>J$32*$C20*(1-$D$21/2)</f>
        <v>9.0263382147891424E-2</v>
      </c>
      <c r="K37" s="38">
        <f t="shared" ref="I37:AC37" si="11">K$32*$C20*(1-$D$21)</f>
        <v>7.3794813260919676E-2</v>
      </c>
      <c r="L37" s="38">
        <f t="shared" si="11"/>
        <v>7.3794813260919676E-2</v>
      </c>
      <c r="M37" s="38">
        <f t="shared" si="11"/>
        <v>7.3794813260919676E-2</v>
      </c>
      <c r="N37" s="38">
        <f t="shared" si="11"/>
        <v>7.3794813260919676E-2</v>
      </c>
      <c r="O37" s="38">
        <f t="shared" si="11"/>
        <v>7.3794813260919676E-2</v>
      </c>
      <c r="P37" s="38">
        <f t="shared" si="11"/>
        <v>7.3794813260919676E-2</v>
      </c>
      <c r="Q37" s="38">
        <f t="shared" si="11"/>
        <v>7.3794813260919676E-2</v>
      </c>
      <c r="R37" s="38">
        <f t="shared" si="11"/>
        <v>7.3794813260919676E-2</v>
      </c>
      <c r="S37" s="38">
        <f t="shared" si="11"/>
        <v>7.3794813260919676E-2</v>
      </c>
      <c r="T37" s="38">
        <f t="shared" si="11"/>
        <v>7.3794813260919676E-2</v>
      </c>
      <c r="U37" s="38">
        <f t="shared" si="11"/>
        <v>7.3794813260919676E-2</v>
      </c>
      <c r="V37" s="38">
        <f t="shared" si="11"/>
        <v>7.3794813260919676E-2</v>
      </c>
      <c r="W37" s="38">
        <f t="shared" si="11"/>
        <v>7.3794813260919676E-2</v>
      </c>
      <c r="X37" s="38">
        <f t="shared" si="11"/>
        <v>7.3794813260919676E-2</v>
      </c>
      <c r="Y37" s="38">
        <f t="shared" si="11"/>
        <v>7.3794813260919676E-2</v>
      </c>
      <c r="Z37" s="38">
        <f t="shared" si="11"/>
        <v>7.3794813260919676E-2</v>
      </c>
      <c r="AA37" s="38">
        <f t="shared" si="11"/>
        <v>7.3794813260919676E-2</v>
      </c>
      <c r="AB37" s="38">
        <f t="shared" si="11"/>
        <v>7.3794813260919676E-2</v>
      </c>
      <c r="AC37" s="38">
        <f t="shared" si="11"/>
        <v>7.3794813260919676E-2</v>
      </c>
    </row>
    <row r="38" spans="3:29" x14ac:dyDescent="0.3">
      <c r="D38" s="85" t="s">
        <v>441</v>
      </c>
      <c r="I38" s="32">
        <f>SUMPRODUCT($D$16:$D$20,I33:I37)</f>
        <v>7437580.9057312366</v>
      </c>
      <c r="J38" s="32">
        <f t="shared" ref="J38:AC38" si="12">SUMPRODUCT($D$16:$D$20,J33:J37)</f>
        <v>6657163.0102352249</v>
      </c>
      <c r="K38" s="32">
        <f t="shared" si="12"/>
        <v>5442562.5264395922</v>
      </c>
      <c r="L38" s="32">
        <f t="shared" si="12"/>
        <v>5442562.5264395922</v>
      </c>
      <c r="M38" s="32">
        <f t="shared" si="12"/>
        <v>5442562.5264395922</v>
      </c>
      <c r="N38" s="32">
        <f t="shared" si="12"/>
        <v>5442562.5264395922</v>
      </c>
      <c r="O38" s="32">
        <f t="shared" si="12"/>
        <v>5442562.5264395922</v>
      </c>
      <c r="P38" s="32">
        <f t="shared" si="12"/>
        <v>5442562.5264395922</v>
      </c>
      <c r="Q38" s="32">
        <f t="shared" si="12"/>
        <v>5442562.5264395922</v>
      </c>
      <c r="R38" s="32">
        <f t="shared" si="12"/>
        <v>5442562.5264395922</v>
      </c>
      <c r="S38" s="32">
        <f t="shared" si="12"/>
        <v>5442562.5264395922</v>
      </c>
      <c r="T38" s="32">
        <f t="shared" si="12"/>
        <v>5442562.5264395922</v>
      </c>
      <c r="U38" s="32">
        <f t="shared" si="12"/>
        <v>5442562.5264395922</v>
      </c>
      <c r="V38" s="32">
        <f t="shared" si="12"/>
        <v>5442562.5264395922</v>
      </c>
      <c r="W38" s="32">
        <f t="shared" si="12"/>
        <v>5442562.5264395922</v>
      </c>
      <c r="X38" s="32">
        <f t="shared" si="12"/>
        <v>5442562.5264395922</v>
      </c>
      <c r="Y38" s="32">
        <f t="shared" si="12"/>
        <v>5442562.5264395922</v>
      </c>
      <c r="Z38" s="32">
        <f t="shared" si="12"/>
        <v>5442562.5264395922</v>
      </c>
      <c r="AA38" s="32">
        <f t="shared" si="12"/>
        <v>5442562.5264395922</v>
      </c>
      <c r="AB38" s="32">
        <f t="shared" si="12"/>
        <v>5442562.5264395922</v>
      </c>
      <c r="AC38" s="32">
        <f t="shared" si="12"/>
        <v>5442562.5264395922</v>
      </c>
    </row>
    <row r="40" spans="3:29" x14ac:dyDescent="0.3">
      <c r="C40" s="31" t="s">
        <v>448</v>
      </c>
    </row>
    <row r="41" spans="3:29" x14ac:dyDescent="0.3">
      <c r="D41" t="s">
        <v>449</v>
      </c>
      <c r="I41" t="s">
        <v>450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061F3-DDE7-4B96-8EBC-BF5E7D76C4FC}">
  <dimension ref="A1:AH17"/>
  <sheetViews>
    <sheetView workbookViewId="0">
      <selection activeCell="D17" sqref="D17"/>
    </sheetView>
    <sheetView workbookViewId="1"/>
  </sheetViews>
  <sheetFormatPr defaultRowHeight="14.4" x14ac:dyDescent="0.3"/>
  <cols>
    <col min="1" max="1" width="3" customWidth="1"/>
    <col min="2" max="2" width="3.6640625" customWidth="1"/>
    <col min="4" max="4" width="43.109375" customWidth="1"/>
    <col min="7" max="34" width="12.88671875" customWidth="1"/>
  </cols>
  <sheetData>
    <row r="1" spans="1:34" s="85" customFormat="1" x14ac:dyDescent="0.3">
      <c r="A1" s="31" t="s">
        <v>451</v>
      </c>
      <c r="H1" s="85">
        <v>-1</v>
      </c>
      <c r="I1" s="85">
        <v>0</v>
      </c>
      <c r="J1" s="85">
        <f t="shared" ref="J1:AH2" si="0">I1+1</f>
        <v>1</v>
      </c>
      <c r="K1" s="85">
        <f t="shared" si="0"/>
        <v>2</v>
      </c>
      <c r="L1" s="85">
        <f t="shared" si="0"/>
        <v>3</v>
      </c>
      <c r="M1" s="85">
        <f t="shared" si="0"/>
        <v>4</v>
      </c>
      <c r="N1" s="85">
        <f t="shared" si="0"/>
        <v>5</v>
      </c>
      <c r="O1" s="85">
        <f t="shared" si="0"/>
        <v>6</v>
      </c>
      <c r="P1" s="85">
        <f t="shared" si="0"/>
        <v>7</v>
      </c>
      <c r="Q1" s="85">
        <f t="shared" si="0"/>
        <v>8</v>
      </c>
      <c r="R1" s="85">
        <f t="shared" si="0"/>
        <v>9</v>
      </c>
      <c r="S1" s="85">
        <f t="shared" si="0"/>
        <v>10</v>
      </c>
      <c r="T1" s="85">
        <f t="shared" si="0"/>
        <v>11</v>
      </c>
      <c r="U1" s="85">
        <f t="shared" si="0"/>
        <v>12</v>
      </c>
      <c r="V1" s="85">
        <f t="shared" si="0"/>
        <v>13</v>
      </c>
      <c r="W1" s="85">
        <f t="shared" si="0"/>
        <v>14</v>
      </c>
      <c r="X1" s="85">
        <f t="shared" si="0"/>
        <v>15</v>
      </c>
      <c r="Y1" s="85">
        <f t="shared" si="0"/>
        <v>16</v>
      </c>
      <c r="Z1" s="85">
        <f t="shared" si="0"/>
        <v>17</v>
      </c>
      <c r="AA1" s="85">
        <f t="shared" si="0"/>
        <v>18</v>
      </c>
      <c r="AB1" s="85">
        <f t="shared" si="0"/>
        <v>19</v>
      </c>
      <c r="AC1" s="85">
        <f t="shared" si="0"/>
        <v>20</v>
      </c>
      <c r="AD1" s="85">
        <f t="shared" si="0"/>
        <v>21</v>
      </c>
      <c r="AE1" s="85">
        <f t="shared" si="0"/>
        <v>22</v>
      </c>
      <c r="AF1" s="85">
        <f t="shared" si="0"/>
        <v>23</v>
      </c>
      <c r="AG1" s="85">
        <f t="shared" si="0"/>
        <v>24</v>
      </c>
      <c r="AH1" s="85">
        <f t="shared" si="0"/>
        <v>25</v>
      </c>
    </row>
    <row r="2" spans="1:34" s="31" customFormat="1" x14ac:dyDescent="0.3">
      <c r="E2" s="31" t="s">
        <v>3</v>
      </c>
      <c r="F2" s="31" t="s">
        <v>4</v>
      </c>
      <c r="G2" s="31" t="s">
        <v>301</v>
      </c>
      <c r="H2" s="31">
        <v>2022</v>
      </c>
      <c r="I2" s="31">
        <v>2023</v>
      </c>
      <c r="J2" s="31">
        <f t="shared" si="0"/>
        <v>2024</v>
      </c>
      <c r="K2" s="31">
        <f t="shared" si="0"/>
        <v>2025</v>
      </c>
      <c r="L2" s="31">
        <f t="shared" si="0"/>
        <v>2026</v>
      </c>
      <c r="M2" s="31">
        <f t="shared" si="0"/>
        <v>2027</v>
      </c>
      <c r="N2" s="31">
        <f t="shared" si="0"/>
        <v>2028</v>
      </c>
      <c r="O2" s="31">
        <f t="shared" si="0"/>
        <v>2029</v>
      </c>
      <c r="P2" s="31">
        <f t="shared" si="0"/>
        <v>2030</v>
      </c>
      <c r="Q2" s="31">
        <f t="shared" si="0"/>
        <v>2031</v>
      </c>
      <c r="R2" s="31">
        <f t="shared" si="0"/>
        <v>2032</v>
      </c>
      <c r="S2" s="31">
        <f t="shared" si="0"/>
        <v>2033</v>
      </c>
      <c r="T2" s="31">
        <f t="shared" si="0"/>
        <v>2034</v>
      </c>
      <c r="U2" s="31">
        <f t="shared" si="0"/>
        <v>2035</v>
      </c>
      <c r="V2" s="31">
        <f t="shared" si="0"/>
        <v>2036</v>
      </c>
      <c r="W2" s="31">
        <f t="shared" si="0"/>
        <v>2037</v>
      </c>
      <c r="X2" s="31">
        <f t="shared" si="0"/>
        <v>2038</v>
      </c>
      <c r="Y2" s="31">
        <f t="shared" si="0"/>
        <v>2039</v>
      </c>
      <c r="Z2" s="31">
        <f t="shared" si="0"/>
        <v>2040</v>
      </c>
      <c r="AA2" s="31">
        <f t="shared" si="0"/>
        <v>2041</v>
      </c>
      <c r="AB2" s="31">
        <f t="shared" si="0"/>
        <v>2042</v>
      </c>
      <c r="AC2" s="31">
        <f t="shared" si="0"/>
        <v>2043</v>
      </c>
      <c r="AD2" s="31">
        <f t="shared" si="0"/>
        <v>2044</v>
      </c>
      <c r="AE2" s="31">
        <f t="shared" si="0"/>
        <v>2045</v>
      </c>
      <c r="AF2" s="31">
        <f t="shared" si="0"/>
        <v>2046</v>
      </c>
      <c r="AG2" s="31">
        <f t="shared" si="0"/>
        <v>2047</v>
      </c>
      <c r="AH2" s="31">
        <f t="shared" si="0"/>
        <v>2048</v>
      </c>
    </row>
    <row r="3" spans="1:34" x14ac:dyDescent="0.3">
      <c r="C3" s="31" t="s">
        <v>467</v>
      </c>
    </row>
    <row r="4" spans="1:34" x14ac:dyDescent="0.3">
      <c r="D4" t="s">
        <v>458</v>
      </c>
    </row>
    <row r="5" spans="1:34" x14ac:dyDescent="0.3">
      <c r="D5" t="s">
        <v>452</v>
      </c>
      <c r="E5" t="s">
        <v>11</v>
      </c>
      <c r="G5">
        <v>400</v>
      </c>
    </row>
    <row r="6" spans="1:34" x14ac:dyDescent="0.3">
      <c r="D6" t="s">
        <v>453</v>
      </c>
      <c r="E6" t="s">
        <v>454</v>
      </c>
      <c r="G6">
        <v>25</v>
      </c>
    </row>
    <row r="7" spans="1:34" x14ac:dyDescent="0.3">
      <c r="D7" t="s">
        <v>455</v>
      </c>
      <c r="E7" t="s">
        <v>456</v>
      </c>
      <c r="G7">
        <v>1.32</v>
      </c>
    </row>
    <row r="8" spans="1:34" x14ac:dyDescent="0.3">
      <c r="D8" t="s">
        <v>457</v>
      </c>
      <c r="E8" t="s">
        <v>456</v>
      </c>
      <c r="G8">
        <v>0.3</v>
      </c>
    </row>
    <row r="9" spans="1:34" x14ac:dyDescent="0.3">
      <c r="D9" t="s">
        <v>459</v>
      </c>
      <c r="E9" t="s">
        <v>456</v>
      </c>
      <c r="G9">
        <f>G7-G8</f>
        <v>1.02</v>
      </c>
    </row>
    <row r="10" spans="1:34" x14ac:dyDescent="0.3">
      <c r="D10" t="s">
        <v>460</v>
      </c>
      <c r="E10" t="s">
        <v>461</v>
      </c>
      <c r="G10">
        <f>AVERAGE(150,200)</f>
        <v>175</v>
      </c>
    </row>
    <row r="11" spans="1:34" x14ac:dyDescent="0.3">
      <c r="D11" t="s">
        <v>462</v>
      </c>
      <c r="E11" t="s">
        <v>463</v>
      </c>
      <c r="G11">
        <f>G9*G10*52</f>
        <v>9282</v>
      </c>
    </row>
    <row r="12" spans="1:34" x14ac:dyDescent="0.3">
      <c r="D12" t="s">
        <v>464</v>
      </c>
      <c r="E12" t="s">
        <v>465</v>
      </c>
      <c r="G12" s="41">
        <f>G11/'7_PARAMS'!D27</f>
        <v>910893.03238469095</v>
      </c>
    </row>
    <row r="13" spans="1:34" x14ac:dyDescent="0.3">
      <c r="D13" t="s">
        <v>464</v>
      </c>
      <c r="E13" t="s">
        <v>390</v>
      </c>
      <c r="G13" s="12">
        <f>G12*'7_PARAMS'!$D$21</f>
        <v>2525223.2090284596</v>
      </c>
    </row>
    <row r="15" spans="1:34" x14ac:dyDescent="0.3">
      <c r="D15" t="s">
        <v>472</v>
      </c>
      <c r="E15" t="s">
        <v>466</v>
      </c>
      <c r="F15" t="s">
        <v>491</v>
      </c>
      <c r="G15" s="86">
        <f>SUM(I15:AC15)</f>
        <v>176358</v>
      </c>
      <c r="I15">
        <f>0</f>
        <v>0</v>
      </c>
      <c r="J15">
        <f>G11/3</f>
        <v>3094</v>
      </c>
      <c r="K15">
        <f>J15*2</f>
        <v>6188</v>
      </c>
      <c r="L15">
        <f>G11</f>
        <v>9282</v>
      </c>
      <c r="M15">
        <f>L15</f>
        <v>9282</v>
      </c>
      <c r="N15" s="85">
        <f t="shared" ref="N15:AC15" si="1">M15</f>
        <v>9282</v>
      </c>
      <c r="O15" s="85">
        <f t="shared" si="1"/>
        <v>9282</v>
      </c>
      <c r="P15" s="85">
        <f t="shared" si="1"/>
        <v>9282</v>
      </c>
      <c r="Q15" s="85">
        <f t="shared" si="1"/>
        <v>9282</v>
      </c>
      <c r="R15" s="85">
        <f t="shared" si="1"/>
        <v>9282</v>
      </c>
      <c r="S15" s="85">
        <f t="shared" si="1"/>
        <v>9282</v>
      </c>
      <c r="T15" s="85">
        <f t="shared" si="1"/>
        <v>9282</v>
      </c>
      <c r="U15" s="85">
        <f t="shared" si="1"/>
        <v>9282</v>
      </c>
      <c r="V15" s="85">
        <f t="shared" si="1"/>
        <v>9282</v>
      </c>
      <c r="W15" s="85">
        <f t="shared" si="1"/>
        <v>9282</v>
      </c>
      <c r="X15" s="85">
        <f t="shared" si="1"/>
        <v>9282</v>
      </c>
      <c r="Y15" s="85">
        <f t="shared" si="1"/>
        <v>9282</v>
      </c>
      <c r="Z15" s="85">
        <f t="shared" si="1"/>
        <v>9282</v>
      </c>
      <c r="AA15" s="85">
        <f t="shared" si="1"/>
        <v>9282</v>
      </c>
      <c r="AB15" s="85">
        <f t="shared" si="1"/>
        <v>9282</v>
      </c>
      <c r="AC15" s="85">
        <f t="shared" si="1"/>
        <v>9282</v>
      </c>
    </row>
    <row r="16" spans="1:34" x14ac:dyDescent="0.3">
      <c r="D16" t="s">
        <v>473</v>
      </c>
      <c r="E16" t="s">
        <v>465</v>
      </c>
      <c r="F16" t="s">
        <v>490</v>
      </c>
      <c r="G16" s="86">
        <f>SUM(I16:AC16)</f>
        <v>17306967.615309134</v>
      </c>
      <c r="I16" s="41">
        <f>0</f>
        <v>0</v>
      </c>
      <c r="J16" s="41">
        <f>G12/3</f>
        <v>303631.01079489698</v>
      </c>
      <c r="K16" s="41">
        <f>J16*2</f>
        <v>607262.02158979396</v>
      </c>
      <c r="L16" s="41">
        <f>G12</f>
        <v>910893.03238469095</v>
      </c>
      <c r="M16" s="41">
        <f>L16</f>
        <v>910893.03238469095</v>
      </c>
      <c r="N16" s="41">
        <f>L16</f>
        <v>910893.03238469095</v>
      </c>
      <c r="O16" s="41">
        <f>M16</f>
        <v>910893.03238469095</v>
      </c>
      <c r="P16" s="41">
        <f>N16</f>
        <v>910893.03238469095</v>
      </c>
      <c r="Q16" s="41">
        <f t="shared" ref="Q16:AC16" si="2">O16</f>
        <v>910893.03238469095</v>
      </c>
      <c r="R16" s="41">
        <f t="shared" si="2"/>
        <v>910893.03238469095</v>
      </c>
      <c r="S16" s="41">
        <f t="shared" si="2"/>
        <v>910893.03238469095</v>
      </c>
      <c r="T16" s="41">
        <f t="shared" si="2"/>
        <v>910893.03238469095</v>
      </c>
      <c r="U16" s="41">
        <f t="shared" si="2"/>
        <v>910893.03238469095</v>
      </c>
      <c r="V16" s="41">
        <f t="shared" si="2"/>
        <v>910893.03238469095</v>
      </c>
      <c r="W16" s="41">
        <f t="shared" si="2"/>
        <v>910893.03238469095</v>
      </c>
      <c r="X16" s="41">
        <f t="shared" si="2"/>
        <v>910893.03238469095</v>
      </c>
      <c r="Y16" s="41">
        <f t="shared" si="2"/>
        <v>910893.03238469095</v>
      </c>
      <c r="Z16" s="41">
        <f t="shared" si="2"/>
        <v>910893.03238469095</v>
      </c>
      <c r="AA16" s="41">
        <f t="shared" si="2"/>
        <v>910893.03238469095</v>
      </c>
      <c r="AB16" s="41">
        <f t="shared" si="2"/>
        <v>910893.03238469095</v>
      </c>
      <c r="AC16" s="41">
        <f t="shared" si="2"/>
        <v>910893.03238469095</v>
      </c>
    </row>
    <row r="17" spans="4:29" x14ac:dyDescent="0.3">
      <c r="D17" t="s">
        <v>474</v>
      </c>
      <c r="E17" t="s">
        <v>390</v>
      </c>
      <c r="F17" t="s">
        <v>492</v>
      </c>
      <c r="G17" s="12">
        <f>SUM(I17:AC17)</f>
        <v>47979240.971540734</v>
      </c>
      <c r="I17" s="12">
        <f>I16*'7_PARAMS'!$D$21</f>
        <v>0</v>
      </c>
      <c r="J17" s="12">
        <f>J16*'7_PARAMS'!$D$21</f>
        <v>841741.06967615325</v>
      </c>
      <c r="K17" s="12">
        <f>K16*'7_PARAMS'!$D$21</f>
        <v>1683482.1393523065</v>
      </c>
      <c r="L17" s="12">
        <f>L16*'7_PARAMS'!$D$21</f>
        <v>2525223.2090284596</v>
      </c>
      <c r="M17" s="12">
        <f>M16*'7_PARAMS'!$D$21</f>
        <v>2525223.2090284596</v>
      </c>
      <c r="N17" s="12">
        <f>N16*'7_PARAMS'!$D$21</f>
        <v>2525223.2090284596</v>
      </c>
      <c r="O17" s="12">
        <f>O16*'7_PARAMS'!$D$21</f>
        <v>2525223.2090284596</v>
      </c>
      <c r="P17" s="12">
        <f>P16*'7_PARAMS'!$D$21</f>
        <v>2525223.2090284596</v>
      </c>
      <c r="Q17" s="12">
        <f>Q16*'7_PARAMS'!$D$21</f>
        <v>2525223.2090284596</v>
      </c>
      <c r="R17" s="12">
        <f>R16*'7_PARAMS'!$D$21</f>
        <v>2525223.2090284596</v>
      </c>
      <c r="S17" s="12">
        <f>S16*'7_PARAMS'!$D$21</f>
        <v>2525223.2090284596</v>
      </c>
      <c r="T17" s="12">
        <f>T16*'7_PARAMS'!$D$21</f>
        <v>2525223.2090284596</v>
      </c>
      <c r="U17" s="12">
        <f>U16*'7_PARAMS'!$D$21</f>
        <v>2525223.2090284596</v>
      </c>
      <c r="V17" s="12">
        <f>V16*'7_PARAMS'!$D$21</f>
        <v>2525223.2090284596</v>
      </c>
      <c r="W17" s="12">
        <f>W16*'7_PARAMS'!$D$21</f>
        <v>2525223.2090284596</v>
      </c>
      <c r="X17" s="12">
        <f>X16*'7_PARAMS'!$D$21</f>
        <v>2525223.2090284596</v>
      </c>
      <c r="Y17" s="12">
        <f>Y16*'7_PARAMS'!$D$21</f>
        <v>2525223.2090284596</v>
      </c>
      <c r="Z17" s="12">
        <f>Z16*'7_PARAMS'!$D$21</f>
        <v>2525223.2090284596</v>
      </c>
      <c r="AA17" s="12">
        <f>AA16*'7_PARAMS'!$D$21</f>
        <v>2525223.2090284596</v>
      </c>
      <c r="AB17" s="12">
        <f>AB16*'7_PARAMS'!$D$21</f>
        <v>2525223.2090284596</v>
      </c>
      <c r="AC17" s="12">
        <f>AC16*'7_PARAMS'!$D$21</f>
        <v>2525223.2090284596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D9A4F-E691-4410-AE56-EA5F8F23C896}">
  <dimension ref="A1:AJ70"/>
  <sheetViews>
    <sheetView workbookViewId="0"/>
    <sheetView workbookViewId="1"/>
  </sheetViews>
  <sheetFormatPr defaultRowHeight="14.4" x14ac:dyDescent="0.3"/>
  <cols>
    <col min="2" max="2" width="3.44140625" style="30" customWidth="1"/>
    <col min="3" max="3" width="42.88671875" customWidth="1"/>
    <col min="4" max="4" width="16.33203125" bestFit="1" customWidth="1"/>
    <col min="5" max="5" width="22" bestFit="1" customWidth="1"/>
    <col min="7" max="36" width="12.77734375" bestFit="1" customWidth="1"/>
  </cols>
  <sheetData>
    <row r="1" spans="1:13" x14ac:dyDescent="0.3">
      <c r="A1" s="31" t="s">
        <v>116</v>
      </c>
      <c r="B1" s="31"/>
    </row>
    <row r="3" spans="1:13" x14ac:dyDescent="0.3">
      <c r="B3" s="94" t="s">
        <v>1</v>
      </c>
      <c r="C3" s="94"/>
      <c r="D3" s="1" t="s">
        <v>2</v>
      </c>
      <c r="E3" s="1" t="s">
        <v>3</v>
      </c>
      <c r="F3" s="1" t="s">
        <v>4</v>
      </c>
      <c r="G3" s="1"/>
      <c r="H3" s="1"/>
      <c r="I3" s="1"/>
      <c r="J3" s="1"/>
      <c r="K3" s="1"/>
      <c r="L3" s="1"/>
      <c r="M3" s="1" t="s">
        <v>5</v>
      </c>
    </row>
    <row r="4" spans="1:13" s="30" customFormat="1" x14ac:dyDescent="0.3">
      <c r="B4" s="61" t="s">
        <v>270</v>
      </c>
      <c r="C4" s="66"/>
      <c r="D4" s="31"/>
      <c r="E4" s="31"/>
      <c r="F4" s="31"/>
      <c r="G4" s="31"/>
      <c r="H4" s="31"/>
      <c r="I4" s="31"/>
      <c r="J4" s="31"/>
      <c r="K4" s="31"/>
      <c r="L4" s="31"/>
      <c r="M4" s="31"/>
    </row>
    <row r="5" spans="1:13" s="30" customFormat="1" x14ac:dyDescent="0.3">
      <c r="B5" s="66"/>
      <c r="C5" s="30" t="s">
        <v>271</v>
      </c>
      <c r="D5" s="33">
        <f>24*365</f>
        <v>8760</v>
      </c>
      <c r="E5" s="33" t="s">
        <v>272</v>
      </c>
      <c r="F5" s="31"/>
      <c r="G5" s="31"/>
      <c r="H5" s="31"/>
      <c r="I5" s="31"/>
      <c r="J5" s="31"/>
      <c r="K5" s="31"/>
      <c r="L5" s="31"/>
      <c r="M5" s="31"/>
    </row>
    <row r="6" spans="1:13" s="30" customFormat="1" x14ac:dyDescent="0.3">
      <c r="B6" s="66"/>
      <c r="C6" s="30" t="s">
        <v>352</v>
      </c>
      <c r="D6" s="33">
        <v>360</v>
      </c>
      <c r="E6" s="33" t="s">
        <v>353</v>
      </c>
      <c r="F6" s="31"/>
      <c r="G6" s="31"/>
      <c r="H6" s="31"/>
      <c r="I6" s="31"/>
      <c r="J6" s="31"/>
      <c r="K6" s="31"/>
      <c r="L6" s="31"/>
      <c r="M6" s="31"/>
    </row>
    <row r="7" spans="1:13" s="30" customFormat="1" x14ac:dyDescent="0.3">
      <c r="B7" s="66"/>
      <c r="D7" s="33"/>
      <c r="E7" s="33"/>
      <c r="F7" s="31"/>
      <c r="G7" s="31"/>
      <c r="H7" s="31"/>
      <c r="I7" s="31"/>
      <c r="J7" s="31"/>
      <c r="K7" s="31"/>
      <c r="L7" s="31"/>
      <c r="M7" s="31"/>
    </row>
    <row r="8" spans="1:13" s="30" customFormat="1" x14ac:dyDescent="0.3">
      <c r="B8" s="61" t="s">
        <v>224</v>
      </c>
      <c r="C8" s="60"/>
      <c r="D8" s="33"/>
      <c r="E8" s="33"/>
      <c r="F8" s="31"/>
      <c r="G8" s="31"/>
      <c r="H8" s="31"/>
      <c r="I8" s="31"/>
      <c r="J8" s="31"/>
      <c r="K8" s="31"/>
      <c r="L8" s="31"/>
      <c r="M8" s="31"/>
    </row>
    <row r="9" spans="1:13" x14ac:dyDescent="0.3">
      <c r="C9" t="s">
        <v>156</v>
      </c>
      <c r="D9" s="33" t="s">
        <v>157</v>
      </c>
      <c r="E9" s="33" t="s">
        <v>158</v>
      </c>
      <c r="F9" t="s">
        <v>159</v>
      </c>
      <c r="M9" t="s">
        <v>160</v>
      </c>
    </row>
    <row r="10" spans="1:13" s="30" customFormat="1" x14ac:dyDescent="0.3">
      <c r="C10" s="30" t="s">
        <v>170</v>
      </c>
      <c r="D10" s="30">
        <v>2.5</v>
      </c>
      <c r="E10" s="30" t="s">
        <v>171</v>
      </c>
    </row>
    <row r="11" spans="1:13" s="30" customFormat="1" x14ac:dyDescent="0.3"/>
    <row r="12" spans="1:13" s="30" customFormat="1" x14ac:dyDescent="0.3">
      <c r="C12" s="30" t="s">
        <v>197</v>
      </c>
      <c r="D12" s="59">
        <v>0.192</v>
      </c>
      <c r="F12" s="30" t="s">
        <v>198</v>
      </c>
    </row>
    <row r="13" spans="1:13" s="30" customFormat="1" x14ac:dyDescent="0.3"/>
    <row r="14" spans="1:13" s="30" customFormat="1" x14ac:dyDescent="0.3">
      <c r="B14" s="2" t="s">
        <v>223</v>
      </c>
    </row>
    <row r="15" spans="1:13" s="30" customFormat="1" x14ac:dyDescent="0.3">
      <c r="C15" s="30" t="s">
        <v>206</v>
      </c>
      <c r="D15" s="30">
        <v>2</v>
      </c>
    </row>
    <row r="16" spans="1:13" s="30" customFormat="1" x14ac:dyDescent="0.3">
      <c r="C16" s="30" t="s">
        <v>220</v>
      </c>
      <c r="D16" s="30">
        <v>12</v>
      </c>
    </row>
    <row r="17" spans="2:36" s="30" customFormat="1" x14ac:dyDescent="0.3"/>
    <row r="18" spans="2:36" s="30" customFormat="1" x14ac:dyDescent="0.3">
      <c r="B18" s="33" t="s">
        <v>225</v>
      </c>
    </row>
    <row r="19" spans="2:36" s="30" customFormat="1" x14ac:dyDescent="0.3">
      <c r="C19" s="30" t="s">
        <v>241</v>
      </c>
      <c r="D19" s="64">
        <f>'8_Data_Diesel Cost'!C8</f>
        <v>3.1152500000000001</v>
      </c>
      <c r="E19" s="30" t="s">
        <v>228</v>
      </c>
      <c r="F19" s="30" t="s">
        <v>226</v>
      </c>
    </row>
    <row r="20" spans="2:36" s="30" customFormat="1" x14ac:dyDescent="0.3">
      <c r="C20" s="30" t="s">
        <v>227</v>
      </c>
      <c r="D20" s="64">
        <f>'8_Data_Diesel Cost'!I10</f>
        <v>0.34300000000000003</v>
      </c>
      <c r="E20" s="30" t="s">
        <v>228</v>
      </c>
    </row>
    <row r="21" spans="2:36" s="30" customFormat="1" x14ac:dyDescent="0.3">
      <c r="C21" s="30" t="s">
        <v>242</v>
      </c>
      <c r="D21" s="64">
        <f>D19-D20</f>
        <v>2.7722500000000001</v>
      </c>
      <c r="E21" s="30" t="s">
        <v>228</v>
      </c>
    </row>
    <row r="22" spans="2:36" s="30" customFormat="1" x14ac:dyDescent="0.3"/>
    <row r="23" spans="2:36" s="30" customFormat="1" x14ac:dyDescent="0.3">
      <c r="C23" s="30" t="s">
        <v>298</v>
      </c>
      <c r="D23" s="30">
        <f>1/0.9</f>
        <v>1.1111111111111112</v>
      </c>
      <c r="E23" s="30" t="s">
        <v>299</v>
      </c>
      <c r="F23" s="30" t="s">
        <v>300</v>
      </c>
    </row>
    <row r="24" spans="2:36" s="30" customFormat="1" x14ac:dyDescent="0.3"/>
    <row r="25" spans="2:36" s="30" customFormat="1" x14ac:dyDescent="0.3">
      <c r="C25" s="30" t="s">
        <v>304</v>
      </c>
      <c r="D25">
        <f>16848.42/172806</f>
        <v>9.7499045172042623E-2</v>
      </c>
      <c r="E25" s="30" t="s">
        <v>305</v>
      </c>
      <c r="F25" s="30" t="s">
        <v>306</v>
      </c>
    </row>
    <row r="26" spans="2:36" s="30" customFormat="1" x14ac:dyDescent="0.3">
      <c r="B26" s="30" t="s">
        <v>317</v>
      </c>
    </row>
    <row r="27" spans="2:36" s="30" customFormat="1" x14ac:dyDescent="0.3">
      <c r="C27" s="30" t="s">
        <v>315</v>
      </c>
      <c r="D27" s="30">
        <f>10.19/1000</f>
        <v>1.0189999999999999E-2</v>
      </c>
      <c r="E27" s="30" t="s">
        <v>316</v>
      </c>
      <c r="F27" s="30" t="s">
        <v>100</v>
      </c>
    </row>
    <row r="28" spans="2:36" s="30" customFormat="1" x14ac:dyDescent="0.3"/>
    <row r="29" spans="2:36" s="30" customFormat="1" x14ac:dyDescent="0.3">
      <c r="B29" s="30" t="s">
        <v>387</v>
      </c>
      <c r="G29" s="77">
        <v>2021</v>
      </c>
      <c r="H29" s="80">
        <v>2022</v>
      </c>
      <c r="I29" s="80">
        <v>2023</v>
      </c>
      <c r="J29" s="80">
        <v>2024</v>
      </c>
      <c r="K29" s="80">
        <v>2025</v>
      </c>
      <c r="L29" s="80">
        <v>2026</v>
      </c>
      <c r="M29" s="80">
        <v>2027</v>
      </c>
      <c r="N29" s="80">
        <v>2028</v>
      </c>
      <c r="O29" s="80">
        <v>2029</v>
      </c>
      <c r="P29" s="80">
        <v>2030</v>
      </c>
      <c r="Q29" s="80">
        <v>2031</v>
      </c>
      <c r="R29" s="80">
        <v>2032</v>
      </c>
      <c r="S29" s="80">
        <v>2033</v>
      </c>
      <c r="T29" s="80">
        <v>2034</v>
      </c>
      <c r="U29" s="80">
        <v>2035</v>
      </c>
      <c r="V29" s="80">
        <v>2036</v>
      </c>
      <c r="W29" s="80">
        <v>2037</v>
      </c>
      <c r="X29" s="80">
        <v>2038</v>
      </c>
      <c r="Y29" s="80">
        <v>2039</v>
      </c>
      <c r="Z29" s="80">
        <v>2040</v>
      </c>
      <c r="AA29" s="80">
        <v>2041</v>
      </c>
      <c r="AB29" s="80">
        <v>2042</v>
      </c>
      <c r="AC29" s="80">
        <v>2043</v>
      </c>
      <c r="AD29" s="80">
        <v>2044</v>
      </c>
      <c r="AE29" s="80">
        <v>2045</v>
      </c>
      <c r="AF29" s="80">
        <v>2046</v>
      </c>
      <c r="AG29" s="80">
        <v>2047</v>
      </c>
      <c r="AH29" s="80">
        <v>2048</v>
      </c>
      <c r="AI29" s="80">
        <v>2049</v>
      </c>
      <c r="AJ29" s="80">
        <v>2050</v>
      </c>
    </row>
    <row r="30" spans="2:36" s="30" customFormat="1" x14ac:dyDescent="0.3">
      <c r="C30" s="30" t="s">
        <v>321</v>
      </c>
      <c r="G30" s="71">
        <v>14162.5056740808</v>
      </c>
      <c r="H30" s="71">
        <v>14344.076259645939</v>
      </c>
      <c r="I30" s="71">
        <v>14525.646845211077</v>
      </c>
      <c r="J30" s="71">
        <v>14707.217430776216</v>
      </c>
      <c r="K30" s="71">
        <v>14979.573309123924</v>
      </c>
      <c r="L30" s="71">
        <v>15251.929187471631</v>
      </c>
      <c r="M30" s="71">
        <v>15524.285065819338</v>
      </c>
      <c r="N30" s="71">
        <v>15796.640944167046</v>
      </c>
      <c r="O30" s="71">
        <v>16068.996822514753</v>
      </c>
      <c r="P30" s="71">
        <v>16432.137993645032</v>
      </c>
      <c r="Q30" s="71">
        <v>16432.137993645032</v>
      </c>
      <c r="R30" s="71">
        <v>16432.137993645032</v>
      </c>
      <c r="S30" s="71">
        <v>16432.137993645032</v>
      </c>
      <c r="T30" s="71">
        <v>16432.137993645032</v>
      </c>
      <c r="U30" s="71">
        <v>16432.137993645032</v>
      </c>
      <c r="V30" s="71">
        <v>16432.137993645032</v>
      </c>
      <c r="W30" s="71">
        <v>16432.137993645032</v>
      </c>
      <c r="X30" s="71">
        <v>16432.137993645032</v>
      </c>
      <c r="Y30" s="71">
        <v>16432.137993645032</v>
      </c>
      <c r="Z30" s="71">
        <v>16432.137993645032</v>
      </c>
      <c r="AA30" s="71">
        <v>16432.137993645032</v>
      </c>
      <c r="AB30" s="71">
        <v>16432.137993645032</v>
      </c>
      <c r="AC30" s="71">
        <v>16432.137993645032</v>
      </c>
      <c r="AD30" s="71">
        <v>16432.137993645032</v>
      </c>
      <c r="AE30" s="71">
        <v>16432.137993645032</v>
      </c>
      <c r="AF30" s="71">
        <v>16432.137993645032</v>
      </c>
      <c r="AG30" s="71">
        <v>16432.137993645032</v>
      </c>
      <c r="AH30" s="71">
        <v>16432.137993645032</v>
      </c>
      <c r="AI30" s="71">
        <v>16432.137993645032</v>
      </c>
      <c r="AJ30" s="71">
        <v>16432.137993645032</v>
      </c>
    </row>
    <row r="31" spans="2:36" s="30" customFormat="1" x14ac:dyDescent="0.3">
      <c r="C31" s="30" t="s">
        <v>322</v>
      </c>
      <c r="G31" s="71">
        <v>37675.896504766228</v>
      </c>
      <c r="H31" s="71">
        <v>38402.178847026786</v>
      </c>
      <c r="I31" s="71">
        <v>39128.461189287336</v>
      </c>
      <c r="J31" s="71">
        <v>39945.52882433046</v>
      </c>
      <c r="K31" s="71">
        <v>40762.596459373584</v>
      </c>
      <c r="L31" s="71">
        <v>41488.878801634135</v>
      </c>
      <c r="M31" s="71">
        <v>42215.161143894693</v>
      </c>
      <c r="N31" s="71">
        <v>42941.443486155244</v>
      </c>
      <c r="O31" s="71">
        <v>43758.511121198368</v>
      </c>
      <c r="P31" s="71">
        <v>44575.578756241492</v>
      </c>
      <c r="Q31" s="71">
        <v>44575.578756241492</v>
      </c>
      <c r="R31" s="71">
        <v>44575.578756241492</v>
      </c>
      <c r="S31" s="71">
        <v>44575.578756241492</v>
      </c>
      <c r="T31" s="71">
        <v>44575.578756241492</v>
      </c>
      <c r="U31" s="71">
        <v>44575.578756241492</v>
      </c>
      <c r="V31" s="71">
        <v>44575.578756241492</v>
      </c>
      <c r="W31" s="71">
        <v>44575.578756241492</v>
      </c>
      <c r="X31" s="71">
        <v>44575.578756241492</v>
      </c>
      <c r="Y31" s="71">
        <v>44575.578756241492</v>
      </c>
      <c r="Z31" s="71">
        <v>44575.578756241492</v>
      </c>
      <c r="AA31" s="71">
        <v>44575.578756241492</v>
      </c>
      <c r="AB31" s="71">
        <v>44575.578756241492</v>
      </c>
      <c r="AC31" s="71">
        <v>44575.578756241492</v>
      </c>
      <c r="AD31" s="71">
        <v>44575.578756241492</v>
      </c>
      <c r="AE31" s="71">
        <v>44575.578756241492</v>
      </c>
      <c r="AF31" s="71">
        <v>44575.578756241492</v>
      </c>
      <c r="AG31" s="71">
        <v>44575.578756241492</v>
      </c>
      <c r="AH31" s="71">
        <v>44575.578756241492</v>
      </c>
      <c r="AI31" s="71">
        <v>44575.578756241492</v>
      </c>
      <c r="AJ31" s="71">
        <v>44575.578756241492</v>
      </c>
    </row>
    <row r="32" spans="2:36" s="30" customFormat="1" x14ac:dyDescent="0.3">
      <c r="C32" s="30" t="s">
        <v>108</v>
      </c>
      <c r="G32" s="71">
        <v>679618.7017703132</v>
      </c>
      <c r="H32" s="71">
        <v>691420.7898320473</v>
      </c>
      <c r="I32" s="71">
        <v>703313.66318656388</v>
      </c>
      <c r="J32" s="71">
        <v>715478.8924194281</v>
      </c>
      <c r="K32" s="71">
        <v>727825.6922378575</v>
      </c>
      <c r="L32" s="71">
        <v>739446.20971402642</v>
      </c>
      <c r="M32" s="71">
        <v>751157.51248297782</v>
      </c>
      <c r="N32" s="71">
        <v>763141.17113027698</v>
      </c>
      <c r="O32" s="71">
        <v>775306.40036314121</v>
      </c>
      <c r="P32" s="71">
        <v>787653.2001815706</v>
      </c>
      <c r="Q32" s="71">
        <v>787653.2001815706</v>
      </c>
      <c r="R32" s="71">
        <v>787653.2001815706</v>
      </c>
      <c r="S32" s="71">
        <v>787653.2001815706</v>
      </c>
      <c r="T32" s="71">
        <v>787653.2001815706</v>
      </c>
      <c r="U32" s="71">
        <v>787653.2001815706</v>
      </c>
      <c r="V32" s="71">
        <v>787653.2001815706</v>
      </c>
      <c r="W32" s="71">
        <v>787653.2001815706</v>
      </c>
      <c r="X32" s="71">
        <v>787653.2001815706</v>
      </c>
      <c r="Y32" s="71">
        <v>787653.2001815706</v>
      </c>
      <c r="Z32" s="71">
        <v>787653.2001815706</v>
      </c>
      <c r="AA32" s="71">
        <v>787653.2001815706</v>
      </c>
      <c r="AB32" s="71">
        <v>787653.2001815706</v>
      </c>
      <c r="AC32" s="71">
        <v>787653.2001815706</v>
      </c>
      <c r="AD32" s="71">
        <v>787653.2001815706</v>
      </c>
      <c r="AE32" s="71">
        <v>787653.2001815706</v>
      </c>
      <c r="AF32" s="71">
        <v>787653.2001815706</v>
      </c>
      <c r="AG32" s="71">
        <v>787653.2001815706</v>
      </c>
      <c r="AH32" s="71">
        <v>787653.2001815706</v>
      </c>
      <c r="AI32" s="71">
        <v>787653.2001815706</v>
      </c>
      <c r="AJ32" s="71">
        <v>787653.2001815706</v>
      </c>
    </row>
    <row r="33" spans="1:29" s="30" customFormat="1" x14ac:dyDescent="0.3">
      <c r="C33" s="30" t="s">
        <v>388</v>
      </c>
      <c r="F33" s="9" t="s">
        <v>389</v>
      </c>
      <c r="G33" s="9"/>
      <c r="H33" s="9"/>
      <c r="I33" s="9"/>
      <c r="J33" s="9">
        <v>1.1014999999999999</v>
      </c>
    </row>
    <row r="34" spans="1:29" s="85" customFormat="1" x14ac:dyDescent="0.3">
      <c r="C34" s="21" t="s">
        <v>109</v>
      </c>
      <c r="E34" s="85" t="s">
        <v>391</v>
      </c>
      <c r="F34" s="85" t="s">
        <v>392</v>
      </c>
      <c r="G34" s="100">
        <v>47</v>
      </c>
      <c r="H34" s="100">
        <v>48</v>
      </c>
      <c r="I34" s="12">
        <v>49.024058102587382</v>
      </c>
      <c r="J34" s="21">
        <v>49.931911030413076</v>
      </c>
      <c r="K34" s="21">
        <v>50.83976395823877</v>
      </c>
      <c r="L34" s="21">
        <v>51.747616886064463</v>
      </c>
      <c r="M34" s="21">
        <v>52.65546981389015</v>
      </c>
      <c r="N34" s="21">
        <v>54.471175669541537</v>
      </c>
      <c r="O34" s="21">
        <v>55.379028597367231</v>
      </c>
      <c r="P34" s="21">
        <v>56.286881525192925</v>
      </c>
      <c r="Q34" s="21">
        <v>57.194734453018611</v>
      </c>
      <c r="R34" s="21">
        <v>58.102587380844305</v>
      </c>
      <c r="S34" s="21">
        <v>59.010440308669999</v>
      </c>
      <c r="T34" s="21">
        <v>59.918293236495693</v>
      </c>
      <c r="U34" s="21">
        <v>60.826146164321386</v>
      </c>
      <c r="V34" s="21">
        <v>62.641852019972767</v>
      </c>
      <c r="W34" s="21">
        <v>63.54970494779846</v>
      </c>
      <c r="X34" s="21">
        <v>64.457557875624147</v>
      </c>
      <c r="Y34" s="21">
        <v>65.365410803449848</v>
      </c>
      <c r="Z34" s="21">
        <v>66.273263731275534</v>
      </c>
      <c r="AA34" s="21">
        <v>67.181116659101235</v>
      </c>
      <c r="AB34" s="21">
        <v>68.088969586926922</v>
      </c>
      <c r="AC34" s="21">
        <v>69</v>
      </c>
    </row>
    <row r="35" spans="1:29" s="30" customFormat="1" x14ac:dyDescent="0.3"/>
    <row r="36" spans="1:29" x14ac:dyDescent="0.3">
      <c r="D36" s="23"/>
    </row>
    <row r="37" spans="1:29" x14ac:dyDescent="0.3">
      <c r="M37" t="s">
        <v>10</v>
      </c>
    </row>
    <row r="38" spans="1:29" x14ac:dyDescent="0.3">
      <c r="A38" t="s">
        <v>98</v>
      </c>
      <c r="M38" t="s">
        <v>10</v>
      </c>
    </row>
    <row r="39" spans="1:29" x14ac:dyDescent="0.3">
      <c r="C39" t="s">
        <v>99</v>
      </c>
      <c r="D39">
        <f>907185</f>
        <v>907185</v>
      </c>
      <c r="E39" t="s">
        <v>97</v>
      </c>
      <c r="M39" t="s">
        <v>10</v>
      </c>
    </row>
    <row r="40" spans="1:29" x14ac:dyDescent="0.3">
      <c r="I40" t="s">
        <v>321</v>
      </c>
      <c r="J40" t="s">
        <v>322</v>
      </c>
      <c r="K40" t="s">
        <v>108</v>
      </c>
      <c r="M40" t="s">
        <v>10</v>
      </c>
    </row>
    <row r="41" spans="1:29" x14ac:dyDescent="0.3">
      <c r="H41" s="77">
        <v>2021</v>
      </c>
      <c r="I41" s="78">
        <v>15600</v>
      </c>
      <c r="J41" s="79">
        <v>41500</v>
      </c>
      <c r="K41" s="78">
        <v>748600</v>
      </c>
      <c r="M41" t="s">
        <v>10</v>
      </c>
    </row>
    <row r="42" spans="1:29" x14ac:dyDescent="0.3">
      <c r="G42" s="30"/>
      <c r="H42" s="80">
        <v>2022</v>
      </c>
      <c r="I42" s="81">
        <v>15800</v>
      </c>
      <c r="J42" s="82">
        <v>42300</v>
      </c>
      <c r="K42" s="81">
        <v>761600</v>
      </c>
      <c r="M42" t="s">
        <v>10</v>
      </c>
    </row>
    <row r="43" spans="1:29" x14ac:dyDescent="0.3">
      <c r="G43" s="30"/>
      <c r="H43" s="80">
        <v>2023</v>
      </c>
      <c r="I43" s="81">
        <v>16000</v>
      </c>
      <c r="J43" s="82">
        <v>43100</v>
      </c>
      <c r="K43" s="81">
        <v>774700</v>
      </c>
      <c r="M43" t="s">
        <v>10</v>
      </c>
    </row>
    <row r="44" spans="1:29" x14ac:dyDescent="0.3">
      <c r="G44" s="30"/>
      <c r="H44" s="80">
        <v>2024</v>
      </c>
      <c r="I44" s="81">
        <v>16200</v>
      </c>
      <c r="J44" s="82">
        <v>44000</v>
      </c>
      <c r="K44" s="81">
        <v>788100</v>
      </c>
      <c r="M44" t="s">
        <v>10</v>
      </c>
    </row>
    <row r="45" spans="1:29" x14ac:dyDescent="0.3">
      <c r="G45" s="30"/>
      <c r="H45" s="80">
        <v>2025</v>
      </c>
      <c r="I45" s="81">
        <v>16500</v>
      </c>
      <c r="J45" s="82">
        <v>44900</v>
      </c>
      <c r="K45" s="81">
        <v>801700</v>
      </c>
      <c r="M45" t="s">
        <v>10</v>
      </c>
    </row>
    <row r="46" spans="1:29" x14ac:dyDescent="0.3">
      <c r="G46" s="30"/>
      <c r="H46" s="80">
        <v>2026</v>
      </c>
      <c r="I46" s="81">
        <v>16800</v>
      </c>
      <c r="J46" s="82">
        <v>45700</v>
      </c>
      <c r="K46" s="81">
        <v>814500</v>
      </c>
      <c r="M46" t="s">
        <v>10</v>
      </c>
    </row>
    <row r="47" spans="1:29" x14ac:dyDescent="0.3">
      <c r="G47" s="30"/>
      <c r="H47" s="80">
        <v>2027</v>
      </c>
      <c r="I47" s="81">
        <v>17100</v>
      </c>
      <c r="J47" s="82">
        <v>46500</v>
      </c>
      <c r="K47" s="81">
        <v>827400</v>
      </c>
      <c r="M47" t="s">
        <v>10</v>
      </c>
    </row>
    <row r="48" spans="1:29" x14ac:dyDescent="0.3">
      <c r="G48" s="30"/>
      <c r="H48" s="80">
        <v>2028</v>
      </c>
      <c r="I48" s="81">
        <v>17400</v>
      </c>
      <c r="J48" s="82">
        <v>47300</v>
      </c>
      <c r="K48" s="81">
        <v>840600</v>
      </c>
      <c r="M48" t="s">
        <v>10</v>
      </c>
    </row>
    <row r="49" spans="7:13" x14ac:dyDescent="0.3">
      <c r="G49" s="30"/>
      <c r="H49" s="80">
        <v>2029</v>
      </c>
      <c r="I49" s="81">
        <v>17700</v>
      </c>
      <c r="J49" s="82">
        <v>48200</v>
      </c>
      <c r="K49" s="81">
        <v>854000</v>
      </c>
      <c r="M49" t="s">
        <v>10</v>
      </c>
    </row>
    <row r="50" spans="7:13" x14ac:dyDescent="0.3">
      <c r="H50" s="80">
        <v>2030</v>
      </c>
      <c r="I50" s="81">
        <v>18100</v>
      </c>
      <c r="J50" s="82">
        <v>49100</v>
      </c>
      <c r="K50" s="81">
        <v>867600</v>
      </c>
      <c r="M50" t="s">
        <v>10</v>
      </c>
    </row>
    <row r="51" spans="7:13" x14ac:dyDescent="0.3">
      <c r="H51" s="80">
        <v>2031</v>
      </c>
      <c r="I51" s="81">
        <v>18100</v>
      </c>
      <c r="J51" s="82">
        <v>49100</v>
      </c>
      <c r="K51" s="81">
        <v>867600</v>
      </c>
      <c r="M51" t="s">
        <v>10</v>
      </c>
    </row>
    <row r="52" spans="7:13" x14ac:dyDescent="0.3">
      <c r="H52" s="80">
        <v>2032</v>
      </c>
      <c r="I52" s="81">
        <v>18100</v>
      </c>
      <c r="J52" s="82">
        <v>49100</v>
      </c>
      <c r="K52" s="81">
        <v>867600</v>
      </c>
      <c r="M52" t="s">
        <v>10</v>
      </c>
    </row>
    <row r="53" spans="7:13" x14ac:dyDescent="0.3">
      <c r="H53" s="80">
        <v>2033</v>
      </c>
      <c r="I53" s="81">
        <v>18100</v>
      </c>
      <c r="J53" s="82">
        <v>49100</v>
      </c>
      <c r="K53" s="81">
        <v>867600</v>
      </c>
      <c r="M53" t="s">
        <v>10</v>
      </c>
    </row>
    <row r="54" spans="7:13" x14ac:dyDescent="0.3">
      <c r="H54" s="80">
        <v>2034</v>
      </c>
      <c r="I54" s="81">
        <v>18100</v>
      </c>
      <c r="J54" s="82">
        <v>49100</v>
      </c>
      <c r="K54" s="81">
        <v>867600</v>
      </c>
      <c r="M54" t="s">
        <v>10</v>
      </c>
    </row>
    <row r="55" spans="7:13" x14ac:dyDescent="0.3">
      <c r="H55" s="80">
        <v>2035</v>
      </c>
      <c r="I55" s="81">
        <v>18100</v>
      </c>
      <c r="J55" s="82">
        <v>49100</v>
      </c>
      <c r="K55" s="81">
        <v>867600</v>
      </c>
      <c r="M55" t="s">
        <v>10</v>
      </c>
    </row>
    <row r="56" spans="7:13" x14ac:dyDescent="0.3">
      <c r="H56" s="80">
        <v>2036</v>
      </c>
      <c r="I56" s="81">
        <v>18100</v>
      </c>
      <c r="J56" s="82">
        <v>49100</v>
      </c>
      <c r="K56" s="81">
        <v>867600</v>
      </c>
      <c r="M56" t="s">
        <v>10</v>
      </c>
    </row>
    <row r="57" spans="7:13" x14ac:dyDescent="0.3">
      <c r="H57" s="80">
        <v>2037</v>
      </c>
      <c r="I57" s="81">
        <v>18100</v>
      </c>
      <c r="J57" s="82">
        <v>49100</v>
      </c>
      <c r="K57" s="81">
        <v>867600</v>
      </c>
      <c r="M57" t="s">
        <v>10</v>
      </c>
    </row>
    <row r="58" spans="7:13" x14ac:dyDescent="0.3">
      <c r="H58" s="80">
        <v>2038</v>
      </c>
      <c r="I58" s="81">
        <v>18100</v>
      </c>
      <c r="J58" s="82">
        <v>49100</v>
      </c>
      <c r="K58" s="81">
        <v>867600</v>
      </c>
      <c r="M58" t="s">
        <v>10</v>
      </c>
    </row>
    <row r="59" spans="7:13" x14ac:dyDescent="0.3">
      <c r="H59" s="80">
        <v>2039</v>
      </c>
      <c r="I59" s="81">
        <v>18100</v>
      </c>
      <c r="J59" s="82">
        <v>49100</v>
      </c>
      <c r="K59" s="81">
        <v>867600</v>
      </c>
      <c r="M59" t="s">
        <v>10</v>
      </c>
    </row>
    <row r="60" spans="7:13" x14ac:dyDescent="0.3">
      <c r="H60" s="80">
        <v>2040</v>
      </c>
      <c r="I60" s="81">
        <v>18100</v>
      </c>
      <c r="J60" s="82">
        <v>49100</v>
      </c>
      <c r="K60" s="81">
        <v>867600</v>
      </c>
      <c r="M60" t="s">
        <v>10</v>
      </c>
    </row>
    <row r="61" spans="7:13" x14ac:dyDescent="0.3">
      <c r="H61" s="80">
        <v>2041</v>
      </c>
      <c r="I61" s="81">
        <v>18100</v>
      </c>
      <c r="J61" s="82">
        <v>49100</v>
      </c>
      <c r="K61" s="81">
        <v>867600</v>
      </c>
      <c r="M61" t="s">
        <v>10</v>
      </c>
    </row>
    <row r="62" spans="7:13" x14ac:dyDescent="0.3">
      <c r="H62" s="80">
        <v>2042</v>
      </c>
      <c r="I62" s="81">
        <v>18100</v>
      </c>
      <c r="J62" s="82">
        <v>49100</v>
      </c>
      <c r="K62" s="81">
        <v>867600</v>
      </c>
      <c r="M62" t="s">
        <v>10</v>
      </c>
    </row>
    <row r="63" spans="7:13" x14ac:dyDescent="0.3">
      <c r="H63" s="80">
        <v>2043</v>
      </c>
      <c r="I63" s="81">
        <v>18100</v>
      </c>
      <c r="J63" s="82">
        <v>49100</v>
      </c>
      <c r="K63" s="81">
        <v>867600</v>
      </c>
      <c r="M63" t="s">
        <v>10</v>
      </c>
    </row>
    <row r="64" spans="7:13" x14ac:dyDescent="0.3">
      <c r="H64" s="80">
        <v>2044</v>
      </c>
      <c r="I64" s="81">
        <v>18100</v>
      </c>
      <c r="J64" s="82">
        <v>49100</v>
      </c>
      <c r="K64" s="81">
        <v>867600</v>
      </c>
      <c r="M64" t="s">
        <v>10</v>
      </c>
    </row>
    <row r="65" spans="8:13" x14ac:dyDescent="0.3">
      <c r="H65" s="80">
        <v>2045</v>
      </c>
      <c r="I65" s="81">
        <v>18100</v>
      </c>
      <c r="J65" s="82">
        <v>49100</v>
      </c>
      <c r="K65" s="81">
        <v>867600</v>
      </c>
      <c r="M65" t="s">
        <v>10</v>
      </c>
    </row>
    <row r="66" spans="8:13" x14ac:dyDescent="0.3">
      <c r="H66" s="80">
        <v>2046</v>
      </c>
      <c r="I66" s="81">
        <v>18100</v>
      </c>
      <c r="J66" s="82">
        <v>49100</v>
      </c>
      <c r="K66" s="81">
        <v>867600</v>
      </c>
      <c r="M66" t="s">
        <v>10</v>
      </c>
    </row>
    <row r="67" spans="8:13" x14ac:dyDescent="0.3">
      <c r="H67" s="80">
        <v>2047</v>
      </c>
      <c r="I67" s="81">
        <v>18100</v>
      </c>
      <c r="J67" s="82">
        <v>49100</v>
      </c>
      <c r="K67" s="81">
        <v>867600</v>
      </c>
      <c r="M67" t="s">
        <v>10</v>
      </c>
    </row>
    <row r="68" spans="8:13" x14ac:dyDescent="0.3">
      <c r="H68" s="80">
        <v>2048</v>
      </c>
      <c r="I68" s="81">
        <v>18100</v>
      </c>
      <c r="J68" s="82">
        <v>49100</v>
      </c>
      <c r="K68" s="81">
        <v>867600</v>
      </c>
      <c r="M68" t="s">
        <v>10</v>
      </c>
    </row>
    <row r="69" spans="8:13" x14ac:dyDescent="0.3">
      <c r="H69" s="80">
        <v>2049</v>
      </c>
      <c r="I69" s="81">
        <v>18100</v>
      </c>
      <c r="J69" s="82">
        <v>49100</v>
      </c>
      <c r="K69" s="81">
        <v>867600</v>
      </c>
      <c r="M69" t="s">
        <v>10</v>
      </c>
    </row>
    <row r="70" spans="8:13" x14ac:dyDescent="0.3">
      <c r="H70" s="80">
        <v>2050</v>
      </c>
      <c r="I70" s="81">
        <v>18100</v>
      </c>
      <c r="J70" s="82">
        <v>49100</v>
      </c>
      <c r="K70" s="81">
        <v>867600</v>
      </c>
      <c r="M70" t="s">
        <v>10</v>
      </c>
    </row>
  </sheetData>
  <mergeCells count="1">
    <mergeCell ref="B3:C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COVER</vt:lpstr>
      <vt:lpstr>0_MODEL_BenefitSummary</vt:lpstr>
      <vt:lpstr>1_MODEL_assumptions</vt:lpstr>
      <vt:lpstr>2_MODEL_Costs</vt:lpstr>
      <vt:lpstr>3_MODEL_main</vt:lpstr>
      <vt:lpstr>4_Emissions</vt:lpstr>
      <vt:lpstr>5_Safety</vt:lpstr>
      <vt:lpstr>6_Throughput</vt:lpstr>
      <vt:lpstr>7_PARAMS</vt:lpstr>
      <vt:lpstr>8_Data_Diesel Cost</vt:lpstr>
      <vt:lpstr>z_QAQC</vt:lpstr>
      <vt:lpstr>COVER!_Hlk19241157</vt:lpstr>
      <vt:lpstr>COVER!_Hlk19241223</vt:lpstr>
      <vt:lpstr>COVER!Print_Area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rseckard</dc:creator>
  <cp:lastModifiedBy>Robert Eckard</cp:lastModifiedBy>
  <dcterms:created xsi:type="dcterms:W3CDTF">2015-06-05T18:17:20Z</dcterms:created>
  <dcterms:modified xsi:type="dcterms:W3CDTF">2022-05-15T18:46:47Z</dcterms:modified>
</cp:coreProperties>
</file>